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1. Diretos\"/>
    </mc:Choice>
  </mc:AlternateContent>
  <xr:revisionPtr revIDLastSave="0" documentId="13_ncr:1_{E127A3A2-DCED-42C9-9A42-33F6A2D6E7D7}" xr6:coauthVersionLast="47" xr6:coauthVersionMax="47" xr10:uidLastSave="{00000000-0000-0000-0000-000000000000}"/>
  <bookViews>
    <workbookView xWindow="-105" yWindow="0" windowWidth="19410" windowHeight="15585" tabRatio="849" firstSheet="8" activeTab="13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 " sheetId="70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AMBIENTES" sheetId="68" r:id="rId10"/>
    <sheet name="Rev. Internos Piso e Parede" sheetId="51" r:id="rId11"/>
    <sheet name="TETO" sheetId="63" r:id="rId12"/>
    <sheet name="Acabamentos de Piso e Parede" sheetId="53" r:id="rId13"/>
    <sheet name="ESQUADRIAS" sheetId="65" r:id="rId14"/>
    <sheet name="PINTURA INTERNA" sheetId="64" r:id="rId15"/>
    <sheet name="COBERTURA" sheetId="66" r:id="rId16"/>
    <sheet name="Rev. Fachada" sheetId="55" r:id="rId17"/>
    <sheet name="COMPLEMENTARES" sheetId="60" r:id="rId18"/>
    <sheet name="Auxiliar" sheetId="36" state="hidden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\0" localSheetId="15">#REF!</definedName>
    <definedName name="\0" localSheetId="17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localSheetId="3" hidden="1">{#N/A,#N/A,FALSE,"Plan1";#N/A,#N/A,FALSE,"Plan2"}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3" hidden="1">{"'장비'!$A$3:$M$12"}</definedName>
    <definedName name="____PK2" hidden="1">{"'장비'!$A$3:$M$12"}</definedName>
    <definedName name="____PKG3" localSheetId="3" hidden="1">{"'장비'!$A$3:$M$12"}</definedName>
    <definedName name="____PKG3" hidden="1">{"'장비'!$A$3:$M$12"}</definedName>
    <definedName name="____qqq222" localSheetId="3" hidden="1">{"'장비'!$A$3:$M$12"}</definedName>
    <definedName name="____qqq222" hidden="1">{"'장비'!$A$3:$M$12"}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3" hidden="1">{"'장비'!$A$3:$M$12"}</definedName>
    <definedName name="___PK2" hidden="1">{"'장비'!$A$3:$M$12"}</definedName>
    <definedName name="___PKG3" localSheetId="3" hidden="1">{"'장비'!$A$3:$M$12"}</definedName>
    <definedName name="___PKG3" hidden="1">{"'장비'!$A$3:$M$12"}</definedName>
    <definedName name="___qqq222" localSheetId="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3" hidden="1">{"'장비'!$A$3:$M$12"}</definedName>
    <definedName name="__PK2" hidden="1">{"'장비'!$A$3:$M$12"}</definedName>
    <definedName name="__PKG3" localSheetId="3" hidden="1">{"'장비'!$A$3:$M$12"}</definedName>
    <definedName name="__PKG3" hidden="1">{"'장비'!$A$3:$M$12"}</definedName>
    <definedName name="__qqq222" localSheetId="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9" hidden="1">AMBIENTES!$A$10:$X$732</definedName>
    <definedName name="_xlnm._FilterDatabase" localSheetId="18" hidden="1">Auxiliar!$A$1:$D$68</definedName>
    <definedName name="_xlnm._FilterDatabase" localSheetId="0" hidden="1">DADOS_INICIAIS!#REF!</definedName>
    <definedName name="_xlnm._FilterDatabase" hidden="1">#REF!</definedName>
    <definedName name="_htm2">#REF!</definedName>
    <definedName name="_htn2">#REF!</definedName>
    <definedName name="_IA0542" localSheetId="3" hidden="1">{#N/A,#N/A,FALSE,"Plan1";#N/A,#N/A,FALSE,"Plan2"}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3" hidden="1">{"'장비'!$A$3:$M$12"}</definedName>
    <definedName name="_PK2" hidden="1">{"'장비'!$A$3:$M$12"}</definedName>
    <definedName name="_PKG3" localSheetId="3" hidden="1">{"'장비'!$A$3:$M$12"}</definedName>
    <definedName name="_PKG3" hidden="1">{"'장비'!$A$3:$M$12"}</definedName>
    <definedName name="_qqq222" localSheetId="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localSheetId="3" hidden="1">{#N/A,#N/A,FALSE,"Plan1";#N/A,#N/A,FALSE,"Plan2"}</definedName>
    <definedName name="_wer3" hidden="1">{#N/A,#N/A,FALSE,"Plan1";#N/A,#N/A,FALSE,"Plan2"}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localSheetId="3" hidden="1">{#N/A,#N/A,FALSE,"Plan1";#N/A,#N/A,FALSE,"Plan2"}</definedName>
    <definedName name="a\sgt" hidden="1">{#N/A,#N/A,FALSE,"Plan1";#N/A,#N/A,FALSE,"Plan2"}</definedName>
    <definedName name="aa" localSheetId="9">#REF!</definedName>
    <definedName name="aa" localSheetId="0">#REF!</definedName>
    <definedName name="aa">#REF!</definedName>
    <definedName name="aaa">#REF!</definedName>
    <definedName name="aaaa" localSheetId="9">#REF!</definedName>
    <definedName name="aaaa" localSheetId="15">'[1]M.O.'!#REF!</definedName>
    <definedName name="aaaa" localSheetId="17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localSheetId="3" hidden="1">{#N/A,#N/A,FALSE,"Plan1";#N/A,#N/A,FALSE,"Plan2"}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localSheetId="3" hidden="1">{#N/A,#N/A,FALSE,"Plan1";#N/A,#N/A,FALSE,"Plan2"}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localSheetId="3" hidden="1">{#N/A,#N/A,FALSE,"Plan1";#N/A,#N/A,FALSE,"Plan2"}</definedName>
    <definedName name="ad" hidden="1">{#N/A,#N/A,FALSE,"Plan1";#N/A,#N/A,FALSE,"Plan2"}</definedName>
    <definedName name="adads" localSheetId="3" hidden="1">{#N/A,#N/A,FALSE,"Plan1";#N/A,#N/A,FALSE,"Plan2"}</definedName>
    <definedName name="adads" hidden="1">{#N/A,#N/A,FALSE,"Plan1";#N/A,#N/A,FALSE,"Plan2"}</definedName>
    <definedName name="adads2" localSheetId="3" hidden="1">{#N/A,#N/A,FALSE,"Plan1";#N/A,#N/A,FALSE,"Plan2"}</definedName>
    <definedName name="adads2" hidden="1">{#N/A,#N/A,FALSE,"Plan1";#N/A,#N/A,FALSE,"Plan2"}</definedName>
    <definedName name="adced" localSheetId="3" hidden="1">{#N/A,#N/A,FALSE,"Plan1";#N/A,#N/A,FALSE,"Plan2"}</definedName>
    <definedName name="adced" hidden="1">{#N/A,#N/A,FALSE,"Plan1";#N/A,#N/A,FALSE,"Plan2"}</definedName>
    <definedName name="adced2" localSheetId="3" hidden="1">{#N/A,#N/A,FALSE,"Plan1";#N/A,#N/A,FALSE,"Plan2"}</definedName>
    <definedName name="adced2" hidden="1">{#N/A,#N/A,FALSE,"Plan1";#N/A,#N/A,FALSE,"Plan2"}</definedName>
    <definedName name="ader" localSheetId="3" hidden="1">{#N/A,#N/A,FALSE,"Plan1";#N/A,#N/A,FALSE,"Plan2"}</definedName>
    <definedName name="ader" hidden="1">{#N/A,#N/A,FALSE,"Plan1";#N/A,#N/A,FALSE,"Plan2"}</definedName>
    <definedName name="ader2" localSheetId="3" hidden="1">{#N/A,#N/A,FALSE,"Plan1";#N/A,#N/A,FALSE,"Plan2"}</definedName>
    <definedName name="ader2" hidden="1">{#N/A,#N/A,FALSE,"Plan1";#N/A,#N/A,FALSE,"Plan2"}</definedName>
    <definedName name="adesr" localSheetId="3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3" hidden="1">{#N/A,#N/A,FALSE,"Plan1";#N/A,#N/A,FALSE,"Plan2"}</definedName>
    <definedName name="adewr" hidden="1">{#N/A,#N/A,FALSE,"Plan1";#N/A,#N/A,FALSE,"Plan2"}</definedName>
    <definedName name="adf" localSheetId="3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localSheetId="3" hidden="1">{#N/A,#N/A,FALSE,"Plan1";#N/A,#N/A,FALSE,"Plan2"}</definedName>
    <definedName name="adsfr" hidden="1">{#N/A,#N/A,FALSE,"Plan1";#N/A,#N/A,FALSE,"Plan2"}</definedName>
    <definedName name="adssrgtg" localSheetId="3" hidden="1">{#N/A,#N/A,FALSE,"Plan1";#N/A,#N/A,FALSE,"Plan2"}</definedName>
    <definedName name="adssrgtg" hidden="1">{#N/A,#N/A,FALSE,"Plan1";#N/A,#N/A,FALSE,"Plan2"}</definedName>
    <definedName name="adtsetrr6t" localSheetId="3" hidden="1">{#N/A,#N/A,FALSE,"Plan1";#N/A,#N/A,FALSE,"Plan2"}</definedName>
    <definedName name="adtsetrr6t" hidden="1">{#N/A,#N/A,FALSE,"Plan1";#N/A,#N/A,FALSE,"Plan2"}</definedName>
    <definedName name="ADUCQT">#REF!</definedName>
    <definedName name="adwr" localSheetId="3" hidden="1">{#N/A,#N/A,FALSE,"Plan1";#N/A,#N/A,FALSE,"Plan2"}</definedName>
    <definedName name="adwr" hidden="1">{#N/A,#N/A,FALSE,"Plan1";#N/A,#N/A,FALSE,"Plan2"}</definedName>
    <definedName name="aeiresft" localSheetId="3" hidden="1">{#N/A,#N/A,FALSE,"Plan1";#N/A,#N/A,FALSE,"Plan2"}</definedName>
    <definedName name="aeiresft" hidden="1">{#N/A,#N/A,FALSE,"Plan1";#N/A,#N/A,FALSE,"Plan2"}</definedName>
    <definedName name="aEL3QE" localSheetId="3" hidden="1">{#N/A,#N/A,FALSE,"Plan1";#N/A,#N/A,FALSE,"Plan2"}</definedName>
    <definedName name="aEL3QE" hidden="1">{#N/A,#N/A,FALSE,"Plan1";#N/A,#N/A,FALSE,"Plan2"}</definedName>
    <definedName name="afeasfre" localSheetId="3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3" hidden="1">{#N/A,#N/A,FALSE,"CCTV"}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9">#REF!</definedName>
    <definedName name="angelo" localSheetId="15">[2]Geral!#REF!</definedName>
    <definedName name="angelo" localSheetId="17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nscount" hidden="1">3</definedName>
    <definedName name="AQE" localSheetId="3" hidden="1">{"'장비'!$A$3:$M$12"}</definedName>
    <definedName name="AQE" hidden="1">{"'장비'!$A$3:$M$12"}</definedName>
    <definedName name="AQTEMP1">#REF!</definedName>
    <definedName name="AQTEMP2">#REF!</definedName>
    <definedName name="ArComprimido" localSheetId="3" hidden="1">{"'Estimativa de Lançamento-JAN'!$A$1:$AI$85"}</definedName>
    <definedName name="ArComprimido" hidden="1">{"'Estimativa de Lançamento-JAN'!$A$1:$AI$85"}</definedName>
    <definedName name="area" localSheetId="9">#REF!</definedName>
    <definedName name="area">#REF!</definedName>
    <definedName name="área">#REF!</definedName>
    <definedName name="_xlnm.Print_Area" localSheetId="12">'Acabamentos de Piso e Parede'!$A$1:$H$38</definedName>
    <definedName name="_xlnm.Print_Area" localSheetId="5">ALVENARIA!$A$1:$I$18</definedName>
    <definedName name="_xlnm.Print_Area" localSheetId="9">#REF!</definedName>
    <definedName name="_xlnm.Print_Area" localSheetId="15">COBERTURA!$A$1:$H$19</definedName>
    <definedName name="_xlnm.Print_Area" localSheetId="17">COMPLEMENTARES!$A$1:$G$21</definedName>
    <definedName name="_xlnm.Print_Area" localSheetId="2">CONTENÇÕES!$A$1:$I$45</definedName>
    <definedName name="_xlnm.Print_Area" localSheetId="0">DADOS_INICIAIS!$A$1:$I$39</definedName>
    <definedName name="_xlnm.Print_Area" localSheetId="13">ESQUADRIAS!$A$1:$I$29</definedName>
    <definedName name="_xlnm.Print_Area" localSheetId="8">IMPERMEABILIZAÇÃO!$A$1:$I$19</definedName>
    <definedName name="_xlnm.Print_Area" localSheetId="3">'INFRAESTRUTURA '!$A$1:$I$34</definedName>
    <definedName name="_xlnm.Print_Area" localSheetId="6">INSTALAÇÕES!$A$1:$E$58</definedName>
    <definedName name="_xlnm.Print_Area" localSheetId="1">MOVIMENTAÇÃO_DE_TERRA!$A$1:$G$26</definedName>
    <definedName name="_xlnm.Print_Area" localSheetId="14">'PINTURA INTERNA'!$A$1:$I$21</definedName>
    <definedName name="_xlnm.Print_Area" localSheetId="16">'Rev. Fachada'!$A$1:$H$33</definedName>
    <definedName name="_xlnm.Print_Area" localSheetId="10">'Rev. Internos Piso e Parede'!$A$1:$H$24</definedName>
    <definedName name="_xlnm.Print_Area" localSheetId="7">'SISTEMAS ESPECIAIS'!$A$1:$E$40</definedName>
    <definedName name="_xlnm.Print_Area" localSheetId="4">SUPRAESTRUTURA!$A$1:$I$18</definedName>
    <definedName name="_xlnm.Print_Area" localSheetId="11">TETO!$A$1:$I$22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localSheetId="3" hidden="1">{#N/A,#N/A,FALSE,"Plan1";#N/A,#N/A,FALSE,"Plan2"}</definedName>
    <definedName name="asawe3" hidden="1">{#N/A,#N/A,FALSE,"Plan1";#N/A,#N/A,FALSE,"Plan2"}</definedName>
    <definedName name="ASD" hidden="1">17</definedName>
    <definedName name="ASDA" localSheetId="3" hidden="1">{#N/A,#N/A,FALSE,"Plan1";#N/A,#N/A,FALSE,"Plan2"}</definedName>
    <definedName name="ASDA" hidden="1">{#N/A,#N/A,FALSE,"Plan1";#N/A,#N/A,FALSE,"Plan2"}</definedName>
    <definedName name="asdade" localSheetId="3" hidden="1">{#N/A,#N/A,FALSE,"Plan1";#N/A,#N/A,FALSE,"Plan2"}</definedName>
    <definedName name="asdade" hidden="1">{#N/A,#N/A,FALSE,"Plan1";#N/A,#N/A,FALSE,"Plan2"}</definedName>
    <definedName name="asdas" localSheetId="3" hidden="1">{#N/A,#N/A,FALSE,"Plan1";#N/A,#N/A,FALSE,"Plan2"}</definedName>
    <definedName name="asdas" hidden="1">{#N/A,#N/A,FALSE,"Plan1";#N/A,#N/A,FALSE,"Plan2"}</definedName>
    <definedName name="asdawed" localSheetId="3" hidden="1">{#N/A,#N/A,FALSE,"Plan1";#N/A,#N/A,FALSE,"Plan2"}</definedName>
    <definedName name="asdawed" hidden="1">{#N/A,#N/A,FALSE,"Plan1";#N/A,#N/A,FALSE,"Plan2"}</definedName>
    <definedName name="ASDER" localSheetId="3" hidden="1">{#N/A,#N/A,FALSE,"Plan1";#N/A,#N/A,FALSE,"Plan2"}</definedName>
    <definedName name="ASDER" hidden="1">{#N/A,#N/A,FALSE,"Plan1";#N/A,#N/A,FALSE,"Plan2"}</definedName>
    <definedName name="asderr" localSheetId="3" hidden="1">{#N/A,#N/A,FALSE,"Plan1";#N/A,#N/A,FALSE,"Plan2"}</definedName>
    <definedName name="asderr" hidden="1">{#N/A,#N/A,FALSE,"Plan1";#N/A,#N/A,FALSE,"Plan2"}</definedName>
    <definedName name="asdesre" localSheetId="3" hidden="1">{#N/A,#N/A,FALSE,"Plan1";#N/A,#N/A,FALSE,"Plan2"}</definedName>
    <definedName name="asdesre" hidden="1">{#N/A,#N/A,FALSE,"Plan1";#N/A,#N/A,FALSE,"Plan2"}</definedName>
    <definedName name="asdewr" localSheetId="3" hidden="1">{#N/A,#N/A,FALSE,"Plan1";#N/A,#N/A,FALSE,"Plan2"}</definedName>
    <definedName name="asdewr" hidden="1">{#N/A,#N/A,FALSE,"Plan1";#N/A,#N/A,FALSE,"Plan2"}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3" hidden="1">{#N/A,#N/A,FALSE,"Plan1";#N/A,#N/A,FALSE,"Plan2"}</definedName>
    <definedName name="asdfs" hidden="1">{#N/A,#N/A,FALSE,"Plan1";#N/A,#N/A,FALSE,"Plan2"}</definedName>
    <definedName name="asdg" localSheetId="3" hidden="1">{#N/A,#N/A,FALSE,"Plan1";#N/A,#N/A,FALSE,"Plan2"}</definedName>
    <definedName name="asdg" hidden="1">{#N/A,#N/A,FALSE,"Plan1";#N/A,#N/A,FALSE,"Plan2"}</definedName>
    <definedName name="asdjksej" hidden="1">#REF!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3" hidden="1">{#N/A,#N/A,FALSE,"Plan1";#N/A,#N/A,FALSE,"Plan2"}</definedName>
    <definedName name="asdlas" hidden="1">{#N/A,#N/A,FALSE,"Plan1";#N/A,#N/A,FALSE,"Plan2"}</definedName>
    <definedName name="asdqwe" localSheetId="3" hidden="1">{#N/A,#N/A,FALSE,"Plan1";#N/A,#N/A,FALSE,"Plan2"}</definedName>
    <definedName name="asdqwe" hidden="1">{#N/A,#N/A,FALSE,"Plan1";#N/A,#N/A,FALSE,"Plan2"}</definedName>
    <definedName name="asdsa" localSheetId="3" hidden="1">{#N/A,#N/A,FALSE,"Plan1";#N/A,#N/A,FALSE,"Plan2"}</definedName>
    <definedName name="asdsa" hidden="1">{#N/A,#N/A,FALSE,"Plan1";#N/A,#N/A,FALSE,"Plan2"}</definedName>
    <definedName name="asdser" localSheetId="3" hidden="1">{#N/A,#N/A,FALSE,"Plan1";#N/A,#N/A,FALSE,"Plan2"}</definedName>
    <definedName name="asdser" hidden="1">{#N/A,#N/A,FALSE,"Plan1";#N/A,#N/A,FALSE,"Plan2"}</definedName>
    <definedName name="asdwef" localSheetId="3" hidden="1">{#N/A,#N/A,FALSE,"Plan1";#N/A,#N/A,FALSE,"Plan2"}</definedName>
    <definedName name="asdwef" hidden="1">{#N/A,#N/A,FALSE,"Plan1";#N/A,#N/A,FALSE,"Plan2"}</definedName>
    <definedName name="aseiuw" hidden="1">#REF!</definedName>
    <definedName name="ASET" localSheetId="3" hidden="1">{#N/A,#N/A,FALSE,"Plan1";#N/A,#N/A,FALSE,"Plan2"}</definedName>
    <definedName name="ASET" hidden="1">{#N/A,#N/A,FALSE,"Plan1";#N/A,#N/A,FALSE,"Plan2"}</definedName>
    <definedName name="asfDSF" localSheetId="3" hidden="1">{#N/A,#N/A,FALSE,"Plan1";#N/A,#N/A,FALSE,"Plan2"}</definedName>
    <definedName name="asfDSF" hidden="1">{#N/A,#N/A,FALSE,"Plan1";#N/A,#N/A,FALSE,"Plan2"}</definedName>
    <definedName name="ASFERTE" localSheetId="3" hidden="1">{#N/A,#N/A,FALSE,"Plan1";#N/A,#N/A,FALSE,"Plan2"}</definedName>
    <definedName name="ASFERTE" hidden="1">{#N/A,#N/A,FALSE,"Plan1";#N/A,#N/A,FALSE,"Plan2"}</definedName>
    <definedName name="asfl" localSheetId="3" hidden="1">{#N/A,#N/A,FALSE,"Plan1";#N/A,#N/A,FALSE,"Plan2"}</definedName>
    <definedName name="asfl" hidden="1">{#N/A,#N/A,FALSE,"Plan1";#N/A,#N/A,FALSE,"Plan2"}</definedName>
    <definedName name="asfsz" localSheetId="3" hidden="1">{#N/A,#N/A,FALSE,"Plan1";#N/A,#N/A,FALSE,"Plan2"}</definedName>
    <definedName name="asfsz" hidden="1">{#N/A,#N/A,FALSE,"Plan1";#N/A,#N/A,FALSE,"Plan2"}</definedName>
    <definedName name="askserf" localSheetId="3" hidden="1">{#N/A,#N/A,FALSE,"Plan1";#N/A,#N/A,FALSE,"Plan2"}</definedName>
    <definedName name="askserf" hidden="1">{#N/A,#N/A,FALSE,"Plan1";#N/A,#N/A,FALSE,"Plan2"}</definedName>
    <definedName name="ASSFSDF" localSheetId="3" hidden="1">{#N/A,#N/A,FALSE,"Plan1";#N/A,#N/A,FALSE,"Plan2"}</definedName>
    <definedName name="ASSFSDF" hidden="1">{#N/A,#N/A,FALSE,"Plan1";#N/A,#N/A,FALSE,"Plan2"}</definedName>
    <definedName name="asw" localSheetId="3" hidden="1">{#N/A,#N/A,FALSE,"Plan1";#N/A,#N/A,FALSE,"Plan2"}</definedName>
    <definedName name="asw" hidden="1">{#N/A,#N/A,FALSE,"Plan1";#N/A,#N/A,FALSE,"Plan2"}</definedName>
    <definedName name="Até_Chaves">#REF!</definedName>
    <definedName name="ATIVOS" localSheetId="3" hidden="1">{#N/A,#N/A,FALSE,"F-01"}</definedName>
    <definedName name="ATIVOS" hidden="1">{#N/A,#N/A,FALSE,"F-01"}</definedName>
    <definedName name="Ato">#REF!</definedName>
    <definedName name="ATUAL">#REF!</definedName>
    <definedName name="aux" localSheetId="15">#REF!</definedName>
    <definedName name="aux" localSheetId="17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AUXILIO">#REF!</definedName>
    <definedName name="avulsos">#REF!</definedName>
    <definedName name="awdjw" localSheetId="3" hidden="1">{#N/A,#N/A,FALSE,"Plan1";#N/A,#N/A,FALSE,"Plan2"}</definedName>
    <definedName name="awdjw" hidden="1">{#N/A,#N/A,FALSE,"Plan1";#N/A,#N/A,FALSE,"Plan2"}</definedName>
    <definedName name="aweqw4" localSheetId="3" hidden="1">{#N/A,#N/A,FALSE,"Plan1";#N/A,#N/A,FALSE,"Plan2"}</definedName>
    <definedName name="aweqw4" hidden="1">{#N/A,#N/A,FALSE,"Plan1";#N/A,#N/A,FALSE,"Plan2"}</definedName>
    <definedName name="awssdwaer" localSheetId="3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localSheetId="3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localSheetId="3" hidden="1">{#N/A,#N/A,FALSE,"Plan1";#N/A,#N/A,FALSE,"Plan2"}</definedName>
    <definedName name="bdfjghf" hidden="1">{#N/A,#N/A,FALSE,"Plan1";#N/A,#N/A,FALSE,"Plan2"}</definedName>
    <definedName name="BDI" localSheetId="9">#REF!</definedName>
    <definedName name="BDI">#REF!</definedName>
    <definedName name="bdzbfbdr" localSheetId="3" hidden="1">{#N/A,#N/A,FALSE,"Plan1";#N/A,#N/A,FALSE,"Plan2"}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localSheetId="3" hidden="1">{#N/A,#N/A,FALSE,"Plan1";#N/A,#N/A,FALSE,"Plan2"}</definedName>
    <definedName name="BGG" hidden="1">{#N/A,#N/A,FALSE,"Plan1";#N/A,#N/A,FALSE,"Plan2"}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3" hidden="1">{#N/A,#N/A,FALSE,"Plan1";#N/A,#N/A,FALSE,"Plan2"}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3" hidden="1">{#N/A,#N/A,FALSE,"Plan1";#N/A,#N/A,FALSE,"Plan2"}</definedName>
    <definedName name="bmdgghrtfde" hidden="1">{#N/A,#N/A,FALSE,"Plan1";#N/A,#N/A,FALSE,"Plan2"}</definedName>
    <definedName name="bnkjhjhdfxgt" localSheetId="3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localSheetId="3" hidden="1">{#N/A,#N/A,FALSE,"Plan1";#N/A,#N/A,FALSE,"Plan2"}</definedName>
    <definedName name="bxnzfmkzxbhdf" hidden="1">{#N/A,#N/A,FALSE,"Plan1";#N/A,#N/A,FALSE,"Plan2"}</definedName>
    <definedName name="ca" localSheetId="9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localSheetId="3" hidden="1">{#N/A,#N/A,FALSE,"Plan1";#N/A,#N/A,FALSE,"Plan2"}</definedName>
    <definedName name="çaos\ewapo" hidden="1">{#N/A,#N/A,FALSE,"Plan1";#N/A,#N/A,FALSE,"Plan2"}</definedName>
    <definedName name="Capa" localSheetId="9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localSheetId="3" hidden="1">{#N/A,#N/A,FALSE,"F-01"}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localSheetId="3" hidden="1">{#N/A,#N/A,FALSE,"Plan1";#N/A,#N/A,FALSE,"Plan2"}</definedName>
    <definedName name="ççç" hidden="1">{#N/A,#N/A,FALSE,"Plan1";#N/A,#N/A,FALSE,"Plan2"}</definedName>
    <definedName name="cccc" localSheetId="3" hidden="1">{#N/A,#N/A,FALSE,"Plan1";#N/A,#N/A,FALSE,"Plan2"}</definedName>
    <definedName name="cccc" hidden="1">{#N/A,#N/A,FALSE,"Plan1";#N/A,#N/A,FALSE,"Plan2"}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3" hidden="1">{"HW",#N/A,FALSE,"1998"}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localSheetId="3" hidden="1">{#N/A,#N/A,FALSE,"Plan1";#N/A,#N/A,FALSE,"Plan2"}</definedName>
    <definedName name="çdfmerf" hidden="1">{#N/A,#N/A,FALSE,"Plan1";#N/A,#N/A,FALSE,"Plan2"}</definedName>
    <definedName name="CDSGHE" localSheetId="3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3" hidden="1">{#N/A,#N/A,FALSE,"Plan1";#N/A,#N/A,FALSE,"Plan2"}</definedName>
    <definedName name="çflçf" hidden="1">{#N/A,#N/A,FALSE,"Plan1";#N/A,#N/A,FALSE,"Plan2"}</definedName>
    <definedName name="CHAFQT">#REF!</definedName>
    <definedName name="Chaves">#REF!</definedName>
    <definedName name="chfch" localSheetId="3" hidden="1">{#N/A,#N/A,FALSE,"Plan1";#N/A,#N/A,FALSE,"Plan2"}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localSheetId="3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3" hidden="1">{#N/A,#N/A,FALSE,"Plan1";#N/A,#N/A,FALSE,"Plan2"}</definedName>
    <definedName name="ÇJsrejtçe" hidden="1">{#N/A,#N/A,FALSE,"Plan1";#N/A,#N/A,FALSE,"Plan2"}</definedName>
    <definedName name="çkaçekow" localSheetId="3" hidden="1">{#N/A,#N/A,FALSE,"Plan1";#N/A,#N/A,FALSE,"Plan2"}</definedName>
    <definedName name="çkaçekow" hidden="1">{#N/A,#N/A,FALSE,"Plan1";#N/A,#N/A,FALSE,"Plan2"}</definedName>
    <definedName name="ÇKSDOEKR" localSheetId="3" hidden="1">{#N/A,#N/A,FALSE,"Plan1";#N/A,#N/A,FALSE,"Plan2"}</definedName>
    <definedName name="ÇKSDOEKR" hidden="1">{#N/A,#N/A,FALSE,"Plan1";#N/A,#N/A,FALSE,"Plan2"}</definedName>
    <definedName name="çl" localSheetId="3" hidden="1">{#N/A,#N/A,FALSE,"Plan1";#N/A,#N/A,FALSE,"Plan2"}</definedName>
    <definedName name="çl" hidden="1">{#N/A,#N/A,FALSE,"Plan1";#N/A,#N/A,FALSE,"Plan2"}</definedName>
    <definedName name="çlassde" localSheetId="3" hidden="1">{#N/A,#N/A,FALSE,"Plan1";#N/A,#N/A,FALSE,"Plan2"}</definedName>
    <definedName name="çlassde" hidden="1">{#N/A,#N/A,FALSE,"Plan1";#N/A,#N/A,FALSE,"Plan2"}</definedName>
    <definedName name="Classificação">#REF!</definedName>
    <definedName name="çlçlç" localSheetId="3" hidden="1">{#N/A,#N/A,FALSE,"Plan1";#N/A,#N/A,FALSE,"Plan2"}</definedName>
    <definedName name="çlçlç" hidden="1">{#N/A,#N/A,FALSE,"Plan1";#N/A,#N/A,FALSE,"Plan2"}</definedName>
    <definedName name="çld" localSheetId="3" hidden="1">{#N/A,#N/A,FALSE,"Plan1";#N/A,#N/A,FALSE,"Plan2"}</definedName>
    <definedName name="çld" hidden="1">{#N/A,#N/A,FALSE,"Plan1";#N/A,#N/A,FALSE,"Plan2"}</definedName>
    <definedName name="çlererr" localSheetId="3" hidden="1">{#N/A,#N/A,FALSE,"Plan1";#N/A,#N/A,FALSE,"Plan2"}</definedName>
    <definedName name="çlererr" hidden="1">{#N/A,#N/A,FALSE,"Plan1";#N/A,#N/A,FALSE,"Plan2"}</definedName>
    <definedName name="çlertert" localSheetId="3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localSheetId="3" hidden="1">{#N/A,#N/A,FALSE,"Plan1";#N/A,#N/A,FALSE,"Plan2"}</definedName>
    <definedName name="çll" hidden="1">{#N/A,#N/A,FALSE,"Plan1";#N/A,#N/A,FALSE,"Plan2"}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3" hidden="1">{#N/A,#N/A,TRUE,"Quinzena 01 à 15-04-98 "}</definedName>
    <definedName name="CONFIRMAR" hidden="1">{#N/A,#N/A,TRUE,"Quinzena 01 à 15-04-98 "}</definedName>
    <definedName name="cont" localSheetId="3" hidden="1">{#N/A,#N/A,FALSE,"Plan1";#N/A,#N/A,FALSE,"Plan2"}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3" hidden="1">{#N/A,#N/A,FALSE,"Plan1";#N/A,#N/A,FALSE,"Plan2"}</definedName>
    <definedName name="ÇSLÇDLFKD" hidden="1">{#N/A,#N/A,FALSE,"Plan1";#N/A,#N/A,FALSE,"Plan2"}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3" hidden="1">{#N/A,#N/A,FALSE,"Plan1";#N/A,#N/A,FALSE,"Plan2"}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localSheetId="3" hidden="1">{#N/A,#N/A,FALSE,"Plan1";#N/A,#N/A,FALSE,"Plan2"}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localSheetId="3" hidden="1">{#N/A,#N/A,FALSE,"Plan1";#N/A,#N/A,FALSE,"Plan2"}</definedName>
    <definedName name="dcnsfgdjkgb" hidden="1">{#N/A,#N/A,FALSE,"Plan1";#N/A,#N/A,FALSE,"Plan2"}</definedName>
    <definedName name="DÇWK" localSheetId="3" hidden="1">{#N/A,#N/A,FALSE,"Plan1";#N/A,#N/A,FALSE,"Plan2"}</definedName>
    <definedName name="DÇWK" hidden="1">{#N/A,#N/A,FALSE,"Plan1";#N/A,#N/A,FALSE,"Plan2"}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localSheetId="3" hidden="1">{#N/A,#N/A,FALSE,"Plan1";#N/A,#N/A,FALSE,"Plan2"}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localSheetId="3" hidden="1">{#N/A,#N/A,FALSE,"Plan1";#N/A,#N/A,FALSE,"Plan2"}</definedName>
    <definedName name="dde" hidden="1">{#N/A,#N/A,FALSE,"Plan1";#N/A,#N/A,FALSE,"Plan2"}</definedName>
    <definedName name="ddfs" hidden="1">#REF!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3" hidden="1">{#N/A,#N/A,FALSE,"Plan1";#N/A,#N/A,FALSE,"Plan2"}</definedName>
    <definedName name="DDGSFG" hidden="1">{#N/A,#N/A,FALSE,"Plan1";#N/A,#N/A,FALSE,"Plan2"}</definedName>
    <definedName name="dede" localSheetId="3" hidden="1">{#N/A,#N/A,FALSE,"Plan1";#N/A,#N/A,FALSE,"Plan2"}</definedName>
    <definedName name="dede" hidden="1">{#N/A,#N/A,FALSE,"Plan1";#N/A,#N/A,FALSE,"Plan2"}</definedName>
    <definedName name="defasagem" localSheetId="3">OFFSET(INDEX(#REF!,MATCH(#REF!,#REF!,0)),1,0,COUNTA(#REF!)-1)</definedName>
    <definedName name="defasagem">OFFSET(INDEX(#REF!,MATCH(#REF!,#REF!,0)),1,0,COUNTA(#REF!)-1)</definedName>
    <definedName name="depara">#REF!</definedName>
    <definedName name="DERIVQT">#REF!</definedName>
    <definedName name="des" localSheetId="3" hidden="1">{#N/A,#N/A,FALSE,"Plan1";#N/A,#N/A,FALSE,"Plan2"}</definedName>
    <definedName name="des" hidden="1">{#N/A,#N/A,FALSE,"Plan1";#N/A,#N/A,FALSE,"Plan2"}</definedName>
    <definedName name="desc" localSheetId="3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3" hidden="1">{#N/A,#N/A,FALSE,"명세표"}</definedName>
    <definedName name="DFD" hidden="1">{#N/A,#N/A,FALSE,"명세표"}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3" hidden="1">{#N/A,#N/A,FALSE,"Plan1";#N/A,#N/A,FALSE,"Plan2"}</definedName>
    <definedName name="dfdjgfdfgdf" hidden="1">{#N/A,#N/A,FALSE,"Plan1";#N/A,#N/A,FALSE,"Plan2"}</definedName>
    <definedName name="dfdrtrr" localSheetId="3" hidden="1">{#N/A,#N/A,FALSE,"Plan1";#N/A,#N/A,FALSE,"Plan2"}</definedName>
    <definedName name="dfdrtrr" hidden="1">{#N/A,#N/A,FALSE,"Plan1";#N/A,#N/A,FALSE,"Plan2"}</definedName>
    <definedName name="DFDSG" localSheetId="3" hidden="1">{#N/A,#N/A,FALSE,"Plan1";#N/A,#N/A,FALSE,"Plan2"}</definedName>
    <definedName name="DFDSG" hidden="1">{#N/A,#N/A,FALSE,"Plan1";#N/A,#N/A,FALSE,"Plan2"}</definedName>
    <definedName name="dfer" localSheetId="3" hidden="1">{#N/A,#N/A,FALSE,"Plan1";#N/A,#N/A,FALSE,"Plan2"}</definedName>
    <definedName name="dfer" hidden="1">{#N/A,#N/A,FALSE,"Plan1";#N/A,#N/A,FALSE,"Plan2"}</definedName>
    <definedName name="dffbty" localSheetId="3" hidden="1">{#N/A,#N/A,FALSE,"Plan1";#N/A,#N/A,FALSE,"Plan2"}</definedName>
    <definedName name="dffbty" hidden="1">{#N/A,#N/A,FALSE,"Plan1";#N/A,#N/A,FALSE,"Plan2"}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3" hidden="1">{#N/A,#N/A,FALSE,"Plan1";#N/A,#N/A,FALSE,"Plan2"}</definedName>
    <definedName name="dffhg" hidden="1">{#N/A,#N/A,FALSE,"Plan1";#N/A,#N/A,FALSE,"Plan2"}</definedName>
    <definedName name="dfg" localSheetId="3" hidden="1">{#N/A,#N/A,FALSE,"Plan1";#N/A,#N/A,FALSE,"Plan2"}</definedName>
    <definedName name="dfg" hidden="1">{#N/A,#N/A,FALSE,"Plan1";#N/A,#N/A,FALSE,"Plan2"}</definedName>
    <definedName name="dfgdf" localSheetId="3" hidden="1">{#N/A,#N/A,FALSE,"Plan1";#N/A,#N/A,FALSE,"Plan2"}</definedName>
    <definedName name="dfgdf" hidden="1">{#N/A,#N/A,FALSE,"Plan1";#N/A,#N/A,FALSE,"Plan2"}</definedName>
    <definedName name="dfgdytygr" localSheetId="3" hidden="1">{#N/A,#N/A,FALSE,"Plan1";#N/A,#N/A,FALSE,"Plan2"}</definedName>
    <definedName name="dfgdytygr" hidden="1">{#N/A,#N/A,FALSE,"Plan1";#N/A,#N/A,FALSE,"Plan2"}</definedName>
    <definedName name="dfgftrrdt5" localSheetId="3" hidden="1">{#N/A,#N/A,FALSE,"Plan1";#N/A,#N/A,FALSE,"Plan2"}</definedName>
    <definedName name="dfgftrrdt5" hidden="1">{#N/A,#N/A,FALSE,"Plan1";#N/A,#N/A,FALSE,"Plan2"}</definedName>
    <definedName name="dfgh">#REF!</definedName>
    <definedName name="dfghjfhsg" localSheetId="3" hidden="1">{#N/A,#N/A,FALSE,"Plan1";#N/A,#N/A,FALSE,"Plan2"}</definedName>
    <definedName name="dfghjfhsg" hidden="1">{#N/A,#N/A,FALSE,"Plan1";#N/A,#N/A,FALSE,"Plan2"}</definedName>
    <definedName name="dfgj" localSheetId="3" hidden="1">{#N/A,#N/A,FALSE,"Plan1";#N/A,#N/A,FALSE,"Plan2"}</definedName>
    <definedName name="dfgj" hidden="1">{#N/A,#N/A,FALSE,"Plan1";#N/A,#N/A,FALSE,"Plan2"}</definedName>
    <definedName name="dfgjfttyd" localSheetId="3" hidden="1">{#N/A,#N/A,FALSE,"Plan1";#N/A,#N/A,FALSE,"Plan2"}</definedName>
    <definedName name="dfgjfttyd" hidden="1">{#N/A,#N/A,FALSE,"Plan1";#N/A,#N/A,FALSE,"Plan2"}</definedName>
    <definedName name="dfgjjtdrtg" localSheetId="3" hidden="1">{#N/A,#N/A,FALSE,"Plan1";#N/A,#N/A,FALSE,"Plan2"}</definedName>
    <definedName name="dfgjjtdrtg" hidden="1">{#N/A,#N/A,FALSE,"Plan1";#N/A,#N/A,FALSE,"Plan2"}</definedName>
    <definedName name="dfgt" localSheetId="3" hidden="1">{#N/A,#N/A,FALSE,"Plan1";#N/A,#N/A,FALSE,"Plan2"}</definedName>
    <definedName name="dfgt" hidden="1">{#N/A,#N/A,FALSE,"Plan1";#N/A,#N/A,FALSE,"Plan2"}</definedName>
    <definedName name="dfgtrkjhk" localSheetId="3" hidden="1">{#N/A,#N/A,FALSE,"Plan1";#N/A,#N/A,FALSE,"Plan2"}</definedName>
    <definedName name="dfgtrkjhk" hidden="1">{#N/A,#N/A,FALSE,"Plan1";#N/A,#N/A,FALSE,"Plan2"}</definedName>
    <definedName name="dfgty" localSheetId="3" hidden="1">{#N/A,#N/A,FALSE,"Plan1";#N/A,#N/A,FALSE,"Plan2"}</definedName>
    <definedName name="dfgty" hidden="1">{#N/A,#N/A,FALSE,"Plan1";#N/A,#N/A,FALSE,"Plan2"}</definedName>
    <definedName name="dfhdgfdgf" localSheetId="3" hidden="1">{#N/A,#N/A,FALSE,"Plan1";#N/A,#N/A,FALSE,"Plan2"}</definedName>
    <definedName name="dfhdgfdgf" hidden="1">{#N/A,#N/A,FALSE,"Plan1";#N/A,#N/A,FALSE,"Plan2"}</definedName>
    <definedName name="DFHDJGJFHJGF" localSheetId="3" hidden="1">{#N/A,#N/A,FALSE,"Plan1";#N/A,#N/A,FALSE,"Plan2"}</definedName>
    <definedName name="DFHDJGJFHJGF" hidden="1">{#N/A,#N/A,FALSE,"Plan1";#N/A,#N/A,FALSE,"Plan2"}</definedName>
    <definedName name="dfhdyg" localSheetId="3" hidden="1">{#N/A,#N/A,FALSE,"Plan1";#N/A,#N/A,FALSE,"Plan2"}</definedName>
    <definedName name="dfhdyg" hidden="1">{#N/A,#N/A,FALSE,"Plan1";#N/A,#N/A,FALSE,"Plan2"}</definedName>
    <definedName name="DFHGDHUR" localSheetId="3" hidden="1">{#N/A,#N/A,FALSE,"Plan1";#N/A,#N/A,FALSE,"Plan2"}</definedName>
    <definedName name="DFHGDHUR" hidden="1">{#N/A,#N/A,FALSE,"Plan1";#N/A,#N/A,FALSE,"Plan2"}</definedName>
    <definedName name="dfhgjfgdhfjdrf" localSheetId="3" hidden="1">{#N/A,#N/A,FALSE,"Plan1";#N/A,#N/A,FALSE,"Plan2"}</definedName>
    <definedName name="dfhgjfgdhfjdrf" hidden="1">{#N/A,#N/A,FALSE,"Plan1";#N/A,#N/A,FALSE,"Plan2"}</definedName>
    <definedName name="dfhgkhfut" localSheetId="3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localSheetId="3" hidden="1">{#N/A,#N/A,FALSE,"Plan1";#N/A,#N/A,FALSE,"Plan2"}</definedName>
    <definedName name="dfhguitrhfg" hidden="1">{#N/A,#N/A,FALSE,"Plan1";#N/A,#N/A,FALSE,"Plan2"}</definedName>
    <definedName name="DFHKHDGKJHDKS" localSheetId="3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3" hidden="1">{#N/A,#N/A,FALSE,"Plan1";#N/A,#N/A,FALSE,"Plan2"}</definedName>
    <definedName name="dfjkgtdftr" hidden="1">{#N/A,#N/A,FALSE,"Plan1";#N/A,#N/A,FALSE,"Plan2"}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3" hidden="1">{#N/A,#N/A,FALSE,"Plan1";#N/A,#N/A,FALSE,"Plan2"}</definedName>
    <definedName name="dfknfhkdrj" hidden="1">{#N/A,#N/A,FALSE,"Plan1";#N/A,#N/A,FALSE,"Plan2"}</definedName>
    <definedName name="dfnert" localSheetId="3" hidden="1">{#N/A,#N/A,FALSE,"Plan1";#N/A,#N/A,FALSE,"Plan2"}</definedName>
    <definedName name="dfnert" hidden="1">{#N/A,#N/A,FALSE,"Plan1";#N/A,#N/A,FALSE,"Plan2"}</definedName>
    <definedName name="dfrt" localSheetId="3" hidden="1">{#N/A,#N/A,FALSE,"Plan1";#N/A,#N/A,FALSE,"Plan2"}</definedName>
    <definedName name="dfrt" hidden="1">{#N/A,#N/A,FALSE,"Plan1";#N/A,#N/A,FALSE,"Plan2"}</definedName>
    <definedName name="dfsdr5tt" localSheetId="3" hidden="1">{#N/A,#N/A,FALSE,"Plan1";#N/A,#N/A,FALSE,"Plan2"}</definedName>
    <definedName name="dfsdr5tt" hidden="1">{#N/A,#N/A,FALSE,"Plan1";#N/A,#N/A,FALSE,"Plan2"}</definedName>
    <definedName name="dfsds" hidden="1">#REF!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3" hidden="1">{#N/A,#N/A,FALSE,"Plan1";#N/A,#N/A,FALSE,"Plan2"}</definedName>
    <definedName name="dfsdtr" hidden="1">{#N/A,#N/A,FALSE,"Plan1";#N/A,#N/A,FALSE,"Plan2"}</definedName>
    <definedName name="dfsf" localSheetId="3" hidden="1">{#N/A,#N/A,FALSE,"Plan1";#N/A,#N/A,FALSE,"Plan2"}</definedName>
    <definedName name="dfsf" hidden="1">{#N/A,#N/A,FALSE,"Plan1";#N/A,#N/A,FALSE,"Plan2"}</definedName>
    <definedName name="DFT" localSheetId="3" hidden="1">{#N/A,#N/A,FALSE,"Plan1";#N/A,#N/A,FALSE,"Plan2"}</definedName>
    <definedName name="DFT" hidden="1">{#N/A,#N/A,FALSE,"Plan1";#N/A,#N/A,FALSE,"Plan2"}</definedName>
    <definedName name="DFTRTTY" localSheetId="3" hidden="1">{#N/A,#N/A,FALSE,"Plan1";#N/A,#N/A,FALSE,"Plan2"}</definedName>
    <definedName name="DFTRTTY" hidden="1">{#N/A,#N/A,FALSE,"Plan1";#N/A,#N/A,FALSE,"Plan2"}</definedName>
    <definedName name="dfurghifdjyhits" localSheetId="3" hidden="1">{#N/A,#N/A,FALSE,"Plan1";#N/A,#N/A,FALSE,"Plan2"}</definedName>
    <definedName name="dfurghifdjyhits" hidden="1">{#N/A,#N/A,FALSE,"Plan1";#N/A,#N/A,FALSE,"Plan2"}</definedName>
    <definedName name="dfxgdrged" localSheetId="3" hidden="1">{#N/A,#N/A,FALSE,"Plan1";#N/A,#N/A,FALSE,"Plan2"}</definedName>
    <definedName name="dfxgdrged" hidden="1">{#N/A,#N/A,FALSE,"Plan1";#N/A,#N/A,FALSE,"Plan2"}</definedName>
    <definedName name="dgfrtyt" localSheetId="3" hidden="1">{#N/A,#N/A,FALSE,"Plan1";#N/A,#N/A,FALSE,"Plan2"}</definedName>
    <definedName name="dgfrtyt" hidden="1">{#N/A,#N/A,FALSE,"Plan1";#N/A,#N/A,FALSE,"Plan2"}</definedName>
    <definedName name="dggfdg" localSheetId="3" hidden="1">{#N/A,#N/A,FALSE,"Plan1";#N/A,#N/A,FALSE,"Plan2"}</definedName>
    <definedName name="dggfdg" hidden="1">{#N/A,#N/A,FALSE,"Plan1";#N/A,#N/A,FALSE,"Plan2"}</definedName>
    <definedName name="dgldfhgkljslh" localSheetId="3" hidden="1">{#N/A,#N/A,FALSE,"Plan1";#N/A,#N/A,FALSE,"Plan2"}</definedName>
    <definedName name="dgldfhgkljslh" hidden="1">{#N/A,#N/A,FALSE,"Plan1";#N/A,#N/A,FALSE,"Plan2"}</definedName>
    <definedName name="dhfgdhrehrwe" localSheetId="3" hidden="1">{#N/A,#N/A,FALSE,"Plan1";#N/A,#N/A,FALSE,"Plan2"}</definedName>
    <definedName name="dhfgdhrehrwe" hidden="1">{#N/A,#N/A,FALSE,"Plan1";#N/A,#N/A,FALSE,"Plan2"}</definedName>
    <definedName name="dhgfdgrfgdfgd" localSheetId="3" hidden="1">{#N/A,#N/A,FALSE,"Plan1";#N/A,#N/A,FALSE,"Plan2"}</definedName>
    <definedName name="dhgfdgrfgdfgd" hidden="1">{#N/A,#N/A,FALSE,"Plan1";#N/A,#N/A,FALSE,"Plan2"}</definedName>
    <definedName name="dhkjfhdhfjdh" localSheetId="3" hidden="1">{#N/A,#N/A,FALSE,"Plan1";#N/A,#N/A,FALSE,"Plan2"}</definedName>
    <definedName name="dhkjfhdhfjdh" hidden="1">{#N/A,#N/A,FALSE,"Plan1";#N/A,#N/A,FALSE,"Plan2"}</definedName>
    <definedName name="DHTJRT" localSheetId="3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localSheetId="3" hidden="1">{#N/A,#N/A,FALSE,"Plan1";#N/A,#N/A,FALSE,"Plan2"}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3" hidden="1">{#N/A,#N/A,FALSE,"Plan1";#N/A,#N/A,FALSE,"Plan2"}</definedName>
    <definedName name="djasdrjas" hidden="1">{#N/A,#N/A,FALSE,"Plan1";#N/A,#N/A,FALSE,"Plan2"}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3" hidden="1">{#N/A,#N/A,FALSE,"Plan1";#N/A,#N/A,FALSE,"Plan2"}</definedName>
    <definedName name="djfkhjhfgrgdfh" hidden="1">{#N/A,#N/A,FALSE,"Plan1";#N/A,#N/A,FALSE,"Plan2"}</definedName>
    <definedName name="djfkhsdkjhf" localSheetId="3" hidden="1">{#N/A,#N/A,FALSE,"Plan1";#N/A,#N/A,FALSE,"Plan2"}</definedName>
    <definedName name="djfkhsdkjhf" hidden="1">{#N/A,#N/A,FALSE,"Plan1";#N/A,#N/A,FALSE,"Plan2"}</definedName>
    <definedName name="djfldjsgljslkjtg" localSheetId="3" hidden="1">{#N/A,#N/A,FALSE,"Plan1";#N/A,#N/A,FALSE,"Plan2"}</definedName>
    <definedName name="djfldjsgljslkjtg" hidden="1">{#N/A,#N/A,FALSE,"Plan1";#N/A,#N/A,FALSE,"Plan2"}</definedName>
    <definedName name="djflkdjgdth" localSheetId="3" hidden="1">{#N/A,#N/A,FALSE,"Plan1";#N/A,#N/A,FALSE,"Plan2"}</definedName>
    <definedName name="djflkdjgdth" hidden="1">{#N/A,#N/A,FALSE,"Plan1";#N/A,#N/A,FALSE,"Plan2"}</definedName>
    <definedName name="DJFLKDJGKTJYJT" localSheetId="3" hidden="1">{#N/A,#N/A,FALSE,"Plan1";#N/A,#N/A,FALSE,"Plan2"}</definedName>
    <definedName name="DJFLKDJGKTJYJT" hidden="1">{#N/A,#N/A,FALSE,"Plan1";#N/A,#N/A,FALSE,"Plan2"}</definedName>
    <definedName name="djgkfjgtiyty" localSheetId="3" hidden="1">{#N/A,#N/A,FALSE,"Plan1";#N/A,#N/A,FALSE,"Plan2"}</definedName>
    <definedName name="djgkfjgtiyty" hidden="1">{#N/A,#N/A,FALSE,"Plan1";#N/A,#N/A,FALSE,"Plan2"}</definedName>
    <definedName name="djrkehrjfhng" localSheetId="3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localSheetId="3" hidden="1">{#N/A,#N/A,FALSE,"Plan1";#N/A,#N/A,FALSE,"Plan2"}</definedName>
    <definedName name="djtkjldfr" hidden="1">{#N/A,#N/A,FALSE,"Plan1";#N/A,#N/A,FALSE,"Plan2"}</definedName>
    <definedName name="DJXDLFGDFG" localSheetId="3" hidden="1">{#N/A,#N/A,FALSE,"Plan1";#N/A,#N/A,FALSE,"Plan2"}</definedName>
    <definedName name="DJXDLFGDFG" hidden="1">{#N/A,#N/A,FALSE,"Plan1";#N/A,#N/A,FALSE,"Plan2"}</definedName>
    <definedName name="dkdkdkdkd" localSheetId="3" hidden="1">{#N/A,#N/A,FALSE,"명세표"}</definedName>
    <definedName name="dkdkdkdkd" hidden="1">{#N/A,#N/A,FALSE,"명세표"}</definedName>
    <definedName name="dkfhskgf" localSheetId="3" hidden="1">{#N/A,#N/A,FALSE,"Plan1";#N/A,#N/A,FALSE,"Plan2"}</definedName>
    <definedName name="dkfhskgf" hidden="1">{#N/A,#N/A,FALSE,"Plan1";#N/A,#N/A,FALSE,"Plan2"}</definedName>
    <definedName name="dkjfk" localSheetId="3" hidden="1">{#N/A,#N/A,FALSE,"Plan1";#N/A,#N/A,FALSE,"Plan2"}</definedName>
    <definedName name="dkjfk" hidden="1">{#N/A,#N/A,FALSE,"Plan1";#N/A,#N/A,FALSE,"Plan2"}</definedName>
    <definedName name="DKLD" localSheetId="3" hidden="1">{#N/A,#N/A,FALSE,"Plan1";#N/A,#N/A,FALSE,"Plan2"}</definedName>
    <definedName name="DKLD" hidden="1">{#N/A,#N/A,FALSE,"Plan1";#N/A,#N/A,FALSE,"Plan2"}</definedName>
    <definedName name="DKLFJDKFD" localSheetId="3" hidden="1">{#N/A,#N/A,FALSE,"Plan1";#N/A,#N/A,FALSE,"Plan2"}</definedName>
    <definedName name="DKLFJDKFD" hidden="1">{#N/A,#N/A,FALSE,"Plan1";#N/A,#N/A,FALSE,"Plan2"}</definedName>
    <definedName name="dklfjgirtgid" localSheetId="3" hidden="1">{#N/A,#N/A,FALSE,"Plan1";#N/A,#N/A,FALSE,"Plan2"}</definedName>
    <definedName name="dklfjgirtgid" hidden="1">{#N/A,#N/A,FALSE,"Plan1";#N/A,#N/A,FALSE,"Plan2"}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3" hidden="1">{#N/A,#N/A,FALSE,"Plan1";#N/A,#N/A,FALSE,"Plan2"}</definedName>
    <definedName name="dmbfmndbmtrhed" hidden="1">{#N/A,#N/A,FALSE,"Plan1";#N/A,#N/A,FALSE,"Plan2"}</definedName>
    <definedName name="DNFJKDHTKRE" localSheetId="3" hidden="1">{#N/A,#N/A,FALSE,"Plan1";#N/A,#N/A,FALSE,"Plan2"}</definedName>
    <definedName name="DNFJKDHTKRE" hidden="1">{#N/A,#N/A,FALSE,"Plan1";#N/A,#N/A,FALSE,"Plan2"}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localSheetId="3" hidden="1">{#N/A,#N/A,FALSE,"Plan1";#N/A,#N/A,FALSE,"Plan2"}</definedName>
    <definedName name="drewr" hidden="1">{#N/A,#N/A,FALSE,"Plan1";#N/A,#N/A,FALSE,"Plan2"}</definedName>
    <definedName name="DRRJR" localSheetId="3" hidden="1">{#N/A,#N/A,FALSE,"Plan1";#N/A,#N/A,FALSE,"Plan2"}</definedName>
    <definedName name="DRRJR" hidden="1">{#N/A,#N/A,FALSE,"Plan1";#N/A,#N/A,FALSE,"Plan2"}</definedName>
    <definedName name="drtr" hidden="1">#REF!</definedName>
    <definedName name="drtrt" localSheetId="3" hidden="1">{"'Estimativa de Lançamento-JAN'!$A$1:$AI$85"}</definedName>
    <definedName name="drtrt" hidden="1">{"'Estimativa de Lançamento-JAN'!$A$1:$AI$85"}</definedName>
    <definedName name="dsdrf" localSheetId="3" hidden="1">{#N/A,#N/A,FALSE,"Plan1";#N/A,#N/A,FALSE,"Plan2"}</definedName>
    <definedName name="dsdrf" hidden="1">{#N/A,#N/A,FALSE,"Plan1";#N/A,#N/A,FALSE,"Plan2"}</definedName>
    <definedName name="dsfdf" localSheetId="3" hidden="1">{#N/A,#N/A,FALSE,"Plan1";#N/A,#N/A,FALSE,"Plan2"}</definedName>
    <definedName name="dsfdf" hidden="1">{#N/A,#N/A,FALSE,"Plan1";#N/A,#N/A,FALSE,"Plan2"}</definedName>
    <definedName name="dsfg" localSheetId="3" hidden="1">{#N/A,#N/A,FALSE,"Plan1";#N/A,#N/A,FALSE,"Plan2"}</definedName>
    <definedName name="dsfg" hidden="1">{#N/A,#N/A,FALSE,"Plan1";#N/A,#N/A,FALSE,"Plan2"}</definedName>
    <definedName name="DSFKDSKH" localSheetId="3" hidden="1">{#N/A,#N/A,FALSE,"Plan1";#N/A,#N/A,FALSE,"Plan2"}</definedName>
    <definedName name="DSFKDSKH" hidden="1">{#N/A,#N/A,FALSE,"Plan1";#N/A,#N/A,FALSE,"Plan2"}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3" hidden="1">{#N/A,#N/A,FALSE,"Plan1";#N/A,#N/A,FALSE,"Plan2"}</definedName>
    <definedName name="dsfrtyy" hidden="1">{#N/A,#N/A,FALSE,"Plan1";#N/A,#N/A,FALSE,"Plan2"}</definedName>
    <definedName name="DSFSAD" localSheetId="3" hidden="1">{#N/A,#N/A,FALSE,"Plan1";#N/A,#N/A,FALSE,"Plan2"}</definedName>
    <definedName name="DSFSAD" hidden="1">{#N/A,#N/A,FALSE,"Plan1";#N/A,#N/A,FALSE,"Plan2"}</definedName>
    <definedName name="dsfsdf" localSheetId="3" hidden="1">{#N/A,#N/A,FALSE,"Plan1";#N/A,#N/A,FALSE,"Plan2"}</definedName>
    <definedName name="dsfsdf" hidden="1">{#N/A,#N/A,FALSE,"Plan1";#N/A,#N/A,FALSE,"Plan2"}</definedName>
    <definedName name="dsfsdgfb" localSheetId="3" hidden="1">{#N/A,#N/A,FALSE,"Plan1";#N/A,#N/A,FALSE,"Plan2"}</definedName>
    <definedName name="dsfsdgfb" hidden="1">{#N/A,#N/A,FALSE,"Plan1";#N/A,#N/A,FALSE,"Plan2"}</definedName>
    <definedName name="dsgfr" localSheetId="3" hidden="1">{#N/A,#N/A,FALSE,"Plan1";#N/A,#N/A,FALSE,"Plan2"}</definedName>
    <definedName name="dsgfr" hidden="1">{#N/A,#N/A,FALSE,"Plan1";#N/A,#N/A,FALSE,"Plan2"}</definedName>
    <definedName name="dshfkhkrhesru" localSheetId="3" hidden="1">{#N/A,#N/A,FALSE,"Plan1";#N/A,#N/A,FALSE,"Plan2"}</definedName>
    <definedName name="dshfkhkrhesru" hidden="1">{#N/A,#N/A,FALSE,"Plan1";#N/A,#N/A,FALSE,"Plan2"}</definedName>
    <definedName name="dsjkthkr" localSheetId="3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3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3" hidden="1">{#N/A,#N/A,FALSE,"Plan1";#N/A,#N/A,FALSE,"Plan2"}</definedName>
    <definedName name="dss" hidden="1">{#N/A,#N/A,FALSE,"Plan1";#N/A,#N/A,FALSE,"Plan2"}</definedName>
    <definedName name="dtgsrytt" localSheetId="3" hidden="1">{#N/A,#N/A,FALSE,"Plan1";#N/A,#N/A,FALSE,"Plan2"}</definedName>
    <definedName name="dtgsrytt" hidden="1">{#N/A,#N/A,FALSE,"Plan1";#N/A,#N/A,FALSE,"Plan2"}</definedName>
    <definedName name="dtrjkhtrgkfh" localSheetId="3" hidden="1">{#N/A,#N/A,FALSE,"Plan1";#N/A,#N/A,FALSE,"Plan2"}</definedName>
    <definedName name="dtrjkhtrgkfh" hidden="1">{#N/A,#N/A,FALSE,"Plan1";#N/A,#N/A,FALSE,"Plan2"}</definedName>
    <definedName name="dttjuk" localSheetId="3" hidden="1">{#N/A,#N/A,FALSE,"Plan1";#N/A,#N/A,FALSE,"Plan2"}</definedName>
    <definedName name="dttjuk" hidden="1">{#N/A,#N/A,FALSE,"Plan1";#N/A,#N/A,FALSE,"Plan2"}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3" hidden="1">{#N/A,#N/A,FALSE,"Plan1";#N/A,#N/A,FALSE,"Plan2"}</definedName>
    <definedName name="dwetrt" hidden="1">{#N/A,#N/A,FALSE,"Plan1";#N/A,#N/A,FALSE,"Plan2"}</definedName>
    <definedName name="dwqhdjwqgdwq">#REF!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3" hidden="1">{#N/A,#N/A,FALSE,"Plan1";#N/A,#N/A,FALSE,"Plan2"}</definedName>
    <definedName name="DYHYGJDHZKGF" hidden="1">{#N/A,#N/A,FALSE,"Plan1";#N/A,#N/A,FALSE,"Plan2"}</definedName>
    <definedName name="dzdfr" localSheetId="3" hidden="1">{#N/A,#N/A,FALSE,"Plan1";#N/A,#N/A,FALSE,"Plan2"}</definedName>
    <definedName name="dzdfr" hidden="1">{#N/A,#N/A,FALSE,"Plan1";#N/A,#N/A,FALSE,"Plan2"}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9">#REF!</definedName>
    <definedName name="ea">#REF!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3" hidden="1">{#N/A,#N/A,FALSE,"F-01"}</definedName>
    <definedName name="ECEW" hidden="1">{#N/A,#N/A,FALSE,"F-01"}</definedName>
    <definedName name="ECEW_1" localSheetId="3" hidden="1">{#N/A,#N/A,FALSE,"F-01"}</definedName>
    <definedName name="ECEW_1" hidden="1">{#N/A,#N/A,FALSE,"F-01"}</definedName>
    <definedName name="echart31" hidden="1">#REF!</definedName>
    <definedName name="EcoPark">#REF!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3" hidden="1">{#N/A,#N/A,FALSE,"Plan1";#N/A,#N/A,FALSE,"Plan2"}</definedName>
    <definedName name="EDE" hidden="1">{#N/A,#N/A,FALSE,"Plan1";#N/A,#N/A,FALSE,"Plan2"}</definedName>
    <definedName name="ee">#REF!</definedName>
    <definedName name="eee" localSheetId="9" hidden="1">{#N/A,#N/A,FALSE,"ET-CAPA";#N/A,#N/A,FALSE,"ET-PAG1";#N/A,#N/A,FALSE,"ET-PAG2";#N/A,#N/A,FALSE,"ET-PAG3";#N/A,#N/A,FALSE,"ET-PAG4";#N/A,#N/A,FALSE,"ET-PAG5"}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localSheetId="3" hidden="1">{#N/A,#N/A,FALSE,"Plan1";#N/A,#N/A,FALSE,"Plan2"}</definedName>
    <definedName name="efestfr" hidden="1">{#N/A,#N/A,FALSE,"Plan1";#N/A,#N/A,FALSE,"Plan2"}</definedName>
    <definedName name="EFICIÊNCIA">#REF!</definedName>
    <definedName name="Eficiência1">#REF!</definedName>
    <definedName name="efrdrt" localSheetId="3" hidden="1">{#N/A,#N/A,FALSE,"Plan1";#N/A,#N/A,FALSE,"Plan2"}</definedName>
    <definedName name="efrdrt" hidden="1">{#N/A,#N/A,FALSE,"Plan1";#N/A,#N/A,FALSE,"Plan2"}</definedName>
    <definedName name="efrg" localSheetId="3" hidden="1">{#N/A,#N/A,FALSE,"Plan1";#N/A,#N/A,FALSE,"Plan2"}</definedName>
    <definedName name="efrg" hidden="1">{#N/A,#N/A,FALSE,"Plan1";#N/A,#N/A,FALSE,"Plan2"}</definedName>
    <definedName name="efsgfr" localSheetId="3" hidden="1">{#N/A,#N/A,FALSE,"Plan1";#N/A,#N/A,FALSE,"Plan2"}</definedName>
    <definedName name="efsgfr" hidden="1">{#N/A,#N/A,FALSE,"Plan1";#N/A,#N/A,FALSE,"Plan2"}</definedName>
    <definedName name="eixo_x_fluxo_graf1" localSheetId="3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3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 localSheetId="3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3" hidden="1">{#N/A,#N/A,FALSE,"Plan1";#N/A,#N/A,FALSE,"Plan2"}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localSheetId="3" hidden="1">{#N/A,#N/A,FALSE,"Plan1";#N/A,#N/A,FALSE,"Plan2"}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3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3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3" hidden="1">{#N/A,#N/A,FALSE,"Plan1";#N/A,#N/A,FALSE,"Plan2"}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3" hidden="1">{#N/A,#N/A,FALSE,"Plan1";#N/A,#N/A,FALSE,"Plan2"}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localSheetId="3" hidden="1">{"'Total'!$A$1","'Total'!$A$3"}</definedName>
    <definedName name="FAS" hidden="1">{"'Total'!$A$1","'Total'!$A$3"}</definedName>
    <definedName name="fasfasf" localSheetId="3" hidden="1">{#N/A,#N/A,TRUE,"Quinzena 01 à 15-04-98 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localSheetId="3" hidden="1">{#N/A,#N/A,FALSE,"Plan1";#N/A,#N/A,FALSE,"Plan2"}</definedName>
    <definedName name="fddhght" hidden="1">{#N/A,#N/A,FALSE,"Plan1";#N/A,#N/A,FALSE,"Plan2"}</definedName>
    <definedName name="fdfgd" localSheetId="3" hidden="1">{#N/A,#N/A,FALSE,"Plan1";#N/A,#N/A,FALSE,"Plan2"}</definedName>
    <definedName name="fdfgd" hidden="1">{#N/A,#N/A,FALSE,"Plan1";#N/A,#N/A,FALSE,"Plan2"}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3" hidden="1">{#N/A,#N/A,FALSE,"Plan1";#N/A,#N/A,FALSE,"Plan2"}</definedName>
    <definedName name="fdgaf" hidden="1">{#N/A,#N/A,FALSE,"Plan1";#N/A,#N/A,FALSE,"Plan2"}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3" hidden="1">{#N/A,#N/A,FALSE,"Plan1";#N/A,#N/A,FALSE,"Plan2"}</definedName>
    <definedName name="FDGFDJHGZEDR" hidden="1">{#N/A,#N/A,FALSE,"Plan1";#N/A,#N/A,FALSE,"Plan2"}</definedName>
    <definedName name="fdgfyhygfuj" localSheetId="3" hidden="1">{#N/A,#N/A,FALSE,"Plan1";#N/A,#N/A,FALSE,"Plan2"}</definedName>
    <definedName name="fdgfyhygfuj" hidden="1">{#N/A,#N/A,FALSE,"Plan1";#N/A,#N/A,FALSE,"Plan2"}</definedName>
    <definedName name="fdhgfdf" localSheetId="3" hidden="1">{#N/A,#N/A,FALSE,"Plan1";#N/A,#N/A,FALSE,"Plan2"}</definedName>
    <definedName name="fdhgfdf" hidden="1">{#N/A,#N/A,FALSE,"Plan1";#N/A,#N/A,FALSE,"Plan2"}</definedName>
    <definedName name="fdjfgdfjg" localSheetId="3" hidden="1">{#N/A,#N/A,FALSE,"Plan1";#N/A,#N/A,FALSE,"Plan2"}</definedName>
    <definedName name="fdjfgdfjg" hidden="1">{#N/A,#N/A,FALSE,"Plan1";#N/A,#N/A,FALSE,"Plan2"}</definedName>
    <definedName name="fdjghkshtygt" localSheetId="3" hidden="1">{#N/A,#N/A,FALSE,"Plan1";#N/A,#N/A,FALSE,"Plan2"}</definedName>
    <definedName name="fdjghkshtygt" hidden="1">{#N/A,#N/A,FALSE,"Plan1";#N/A,#N/A,FALSE,"Plan2"}</definedName>
    <definedName name="fdnhgf" localSheetId="3" hidden="1">{"'Estimativa de Lançamento-JAN'!$A$1:$AI$85"}</definedName>
    <definedName name="fdnhgf" hidden="1">{"'Estimativa de Lançamento-JAN'!$A$1:$AI$85"}</definedName>
    <definedName name="fdsf" localSheetId="3" hidden="1">{#N/A,#N/A,FALSE,"Plan1";#N/A,#N/A,FALSE,"Plan2"}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localSheetId="3" hidden="1">{#N/A,#N/A,FALSE,"Plan1";#N/A,#N/A,FALSE,"Plan2"}</definedName>
    <definedName name="fffff" hidden="1">{#N/A,#N/A,FALSE,"Plan1";#N/A,#N/A,FALSE,"Plan2"}</definedName>
    <definedName name="FFFFFFF" localSheetId="15">#REF!</definedName>
    <definedName name="FFFFFFF" localSheetId="17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3" hidden="1">{#N/A,#N/A,FALSE,"Plan1";#N/A,#N/A,FALSE,"Plan2"}</definedName>
    <definedName name="fg" hidden="1">{#N/A,#N/A,FALSE,"Plan1";#N/A,#N/A,FALSE,"Plan2"}</definedName>
    <definedName name="fgg" localSheetId="3" hidden="1">{"'장비'!$A$3:$M$12"}</definedName>
    <definedName name="fgg" hidden="1">{"'장비'!$A$3:$M$12"}</definedName>
    <definedName name="fghfh" localSheetId="3" hidden="1">{"'Estimativa de Lançamento-JAN'!$A$1:$AI$85"}</definedName>
    <definedName name="fghfh" hidden="1">{"'Estimativa de Lançamento-JAN'!$A$1:$AI$85"}</definedName>
    <definedName name="fghgfh" localSheetId="3" hidden="1">{#N/A,#N/A,FALSE,"Plan1";#N/A,#N/A,FALSE,"Plan2"}</definedName>
    <definedName name="fghgfh" hidden="1">{#N/A,#N/A,FALSE,"Plan1";#N/A,#N/A,FALSE,"Plan2"}</definedName>
    <definedName name="FGJHFGK" localSheetId="3" hidden="1">{#N/A,#N/A,FALSE,"Plan1";#N/A,#N/A,FALSE,"Plan2"}</definedName>
    <definedName name="FGJHFGK" hidden="1">{#N/A,#N/A,FALSE,"Plan1";#N/A,#N/A,FALSE,"Plan2"}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3" hidden="1">{#N/A,#N/A,FALSE,"Plan1";#N/A,#N/A,FALSE,"Plan2"}</definedName>
    <definedName name="fgtrgty" hidden="1">{#N/A,#N/A,FALSE,"Plan1";#N/A,#N/A,FALSE,"Plan2"}</definedName>
    <definedName name="fgty" hidden="1">#REF!</definedName>
    <definedName name="fhgjfgyt" localSheetId="3" hidden="1">{#N/A,#N/A,FALSE,"Plan1";#N/A,#N/A,FALSE,"Plan2"}</definedName>
    <definedName name="fhgjfgyt" hidden="1">{#N/A,#N/A,FALSE,"Plan1";#N/A,#N/A,FALSE,"Plan2"}</definedName>
    <definedName name="fhgjkhtrfg" localSheetId="3" hidden="1">{#N/A,#N/A,FALSE,"Plan1";#N/A,#N/A,FALSE,"Plan2"}</definedName>
    <definedName name="fhgjkhtrfg" hidden="1">{#N/A,#N/A,FALSE,"Plan1";#N/A,#N/A,FALSE,"Plan2"}</definedName>
    <definedName name="FHGTGSRSG" localSheetId="3" hidden="1">{#N/A,#N/A,FALSE,"Plan1";#N/A,#N/A,FALSE,"Plan2"}</definedName>
    <definedName name="FHGTGSRSG" hidden="1">{#N/A,#N/A,FALSE,"Plan1";#N/A,#N/A,FALSE,"Plan2"}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3" hidden="1">{#N/A,#N/A,TRUE,"Quinzena 01 à 15-04-98 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localSheetId="3" hidden="1">{#N/A,#N/A,FALSE,"Plan1";#N/A,#N/A,FALSE,"Plan2"}</definedName>
    <definedName name="fjdhfgjdhtgu" hidden="1">{#N/A,#N/A,FALSE,"Plan1";#N/A,#N/A,FALSE,"Plan2"}</definedName>
    <definedName name="fjfjg" localSheetId="3" hidden="1">{#N/A,#N/A,FALSE,"명세표"}</definedName>
    <definedName name="fjfjg" hidden="1">{#N/A,#N/A,FALSE,"명세표"}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3" hidden="1">{#N/A,#N/A,FALSE,"Plan1";#N/A,#N/A,FALSE,"Plan2"}</definedName>
    <definedName name="FJHJHG" hidden="1">{#N/A,#N/A,FALSE,"Plan1";#N/A,#N/A,FALSE,"Plan2"}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3" hidden="1">{#N/A,#N/A,FALSE,"Plan1";#N/A,#N/A,FALSE,"Plan2"}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3" hidden="1">{#N/A,#N/A,FALSE,"Plan1";#N/A,#N/A,FALSE,"Plan2"}</definedName>
    <definedName name="frçt4r" hidden="1">{#N/A,#N/A,FALSE,"Plan1";#N/A,#N/A,FALSE,"Plan2"}</definedName>
    <definedName name="frdtty" localSheetId="3" hidden="1">{#N/A,#N/A,FALSE,"Plan1";#N/A,#N/A,FALSE,"Plan2"}</definedName>
    <definedName name="frdtty" hidden="1">{#N/A,#N/A,FALSE,"Plan1";#N/A,#N/A,FALSE,"Plan2"}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3" hidden="1">{#N/A,#N/A,FALSE,"Plan1";#N/A,#N/A,FALSE,"Plan2"}</definedName>
    <definedName name="fuihgjk" hidden="1">{#N/A,#N/A,FALSE,"Plan1";#N/A,#N/A,FALSE,"Plan2"}</definedName>
    <definedName name="fuste">#REF!</definedName>
    <definedName name="fxjghkfg" localSheetId="3" hidden="1">{#N/A,#N/A,FALSE,"Plan1";#N/A,#N/A,FALSE,"Plan2"}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localSheetId="3" hidden="1">{#N/A,#N/A,FALSE,"Plan1";#N/A,#N/A,FALSE,"Plan2"}</definedName>
    <definedName name="gbdjkvhgd" hidden="1">{#N/A,#N/A,FALSE,"Plan1";#N/A,#N/A,FALSE,"Plan2"}</definedName>
    <definedName name="gbdsjgsjfdgj" localSheetId="3" hidden="1">{#N/A,#N/A,FALSE,"Plan1";#N/A,#N/A,FALSE,"Plan2"}</definedName>
    <definedName name="gbdsjgsjfdgj" hidden="1">{#N/A,#N/A,FALSE,"Plan1";#N/A,#N/A,FALSE,"Plan2"}</definedName>
    <definedName name="gdfdhgfjgj" localSheetId="3" hidden="1">{#N/A,#N/A,FALSE,"Plan1";#N/A,#N/A,FALSE,"Plan2"}</definedName>
    <definedName name="gdfdhgfjgj" hidden="1">{#N/A,#N/A,FALSE,"Plan1";#N/A,#N/A,FALSE,"Plan2"}</definedName>
    <definedName name="gdfgdstggt" localSheetId="3" hidden="1">{#N/A,#N/A,FALSE,"Plan1";#N/A,#N/A,FALSE,"Plan2"}</definedName>
    <definedName name="gdfgdstggt" hidden="1">{#N/A,#N/A,FALSE,"Plan1";#N/A,#N/A,FALSE,"Plan2"}</definedName>
    <definedName name="GDFHGRJGFJDRF" localSheetId="3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3" hidden="1">{#N/A,#N/A,FALSE,"Plan1";#N/A,#N/A,FALSE,"Plan2"}</definedName>
    <definedName name="gdfigfhuyuy" hidden="1">{#N/A,#N/A,FALSE,"Plan1";#N/A,#N/A,FALSE,"Plan2"}</definedName>
    <definedName name="gdfsgfew" localSheetId="3" hidden="1">{#N/A,#N/A,FALSE,"Plan1";#N/A,#N/A,FALSE,"Plan2"}</definedName>
    <definedName name="gdfsgfew" hidden="1">{#N/A,#N/A,FALSE,"Plan1";#N/A,#N/A,FALSE,"Plan2"}</definedName>
    <definedName name="gdhfgdhfgf" localSheetId="3" hidden="1">{#N/A,#N/A,FALSE,"Plan1";#N/A,#N/A,FALSE,"Plan2"}</definedName>
    <definedName name="gdhfgdhfgf" hidden="1">{#N/A,#N/A,FALSE,"Plan1";#N/A,#N/A,FALSE,"Plan2"}</definedName>
    <definedName name="gdsfhefrwrw" localSheetId="3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localSheetId="3" hidden="1">{#N/A,#N/A,FALSE,"Plan1";#N/A,#N/A,FALSE,"Plan2"}</definedName>
    <definedName name="geshrjhed" hidden="1">{#N/A,#N/A,FALSE,"Plan1";#N/A,#N/A,FALSE,"Plan2"}</definedName>
    <definedName name="gestao" localSheetId="3" hidden="1">OFFSET(INDEX(#REF!,MATCH(#REF!,#REF!,0)),1,0,COUNTA(#REF!)-1)</definedName>
    <definedName name="gestao" hidden="1">OFFSET(INDEX(#REF!,MATCH(#REF!,#REF!,0)),1,0,COUNTA(#REF!)-1)</definedName>
    <definedName name="gfdcgnkf" localSheetId="3" hidden="1">{#N/A,#N/A,FALSE,"Plan1";#N/A,#N/A,FALSE,"Plan2"}</definedName>
    <definedName name="gfdcgnkf" hidden="1">{#N/A,#N/A,FALSE,"Plan1";#N/A,#N/A,FALSE,"Plan2"}</definedName>
    <definedName name="gfdjtgur" localSheetId="3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localSheetId="3" hidden="1">{#N/A,#N/A,FALSE,"Plan1";#N/A,#N/A,FALSE,"Plan2"}</definedName>
    <definedName name="gfgdhxgfdhf" hidden="1">{#N/A,#N/A,FALSE,"Plan1";#N/A,#N/A,FALSE,"Plan2"}</definedName>
    <definedName name="gfhfdtgjb" localSheetId="3" hidden="1">{#N/A,#N/A,FALSE,"Plan1";#N/A,#N/A,FALSE,"Plan2"}</definedName>
    <definedName name="gfhfdtgjb" hidden="1">{#N/A,#N/A,FALSE,"Plan1";#N/A,#N/A,FALSE,"Plan2"}</definedName>
    <definedName name="gfjdshrtjhtged" localSheetId="3" hidden="1">{#N/A,#N/A,FALSE,"Plan1";#N/A,#N/A,FALSE,"Plan2"}</definedName>
    <definedName name="gfjdshrtjhtged" hidden="1">{#N/A,#N/A,FALSE,"Plan1";#N/A,#N/A,FALSE,"Plan2"}</definedName>
    <definedName name="gfjgkddgfd" localSheetId="3" hidden="1">{#N/A,#N/A,FALSE,"Plan1";#N/A,#N/A,FALSE,"Plan2"}</definedName>
    <definedName name="gfjgkddgfd" hidden="1">{#N/A,#N/A,FALSE,"Plan1";#N/A,#N/A,FALSE,"Plan2"}</definedName>
    <definedName name="gfsghjdgygr" localSheetId="3" hidden="1">{#N/A,#N/A,FALSE,"Plan1";#N/A,#N/A,FALSE,"Plan2"}</definedName>
    <definedName name="gfsghjdgygr" hidden="1">{#N/A,#N/A,FALSE,"Plan1";#N/A,#N/A,FALSE,"Plan2"}</definedName>
    <definedName name="gftfy" localSheetId="3" hidden="1">{#N/A,#N/A,FALSE,"Plan1";#N/A,#N/A,FALSE,"Plan2"}</definedName>
    <definedName name="gftfy" hidden="1">{#N/A,#N/A,FALSE,"Plan1";#N/A,#N/A,FALSE,"Plan2"}</definedName>
    <definedName name="gfty" localSheetId="3" hidden="1">{#N/A,#N/A,FALSE,"Plan1";#N/A,#N/A,FALSE,"Plan2"}</definedName>
    <definedName name="gfty" hidden="1">{#N/A,#N/A,FALSE,"Plan1";#N/A,#N/A,FALSE,"Plan2"}</definedName>
    <definedName name="GFUJU9" localSheetId="3" hidden="1">{#N/A,#N/A,FALSE,"Plan1";#N/A,#N/A,FALSE,"Plan2"}</definedName>
    <definedName name="GFUJU9" hidden="1">{#N/A,#N/A,FALSE,"Plan1";#N/A,#N/A,FALSE,"Plan2"}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3" hidden="1">{#N/A,#N/A,FALSE,"Plan1";#N/A,#N/A,FALSE,"Plan2"}</definedName>
    <definedName name="GGGG" hidden="1">{#N/A,#N/A,FALSE,"Plan1";#N/A,#N/A,FALSE,"Plan2"}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3" hidden="1">{"'장비'!$A$3:$M$12"}</definedName>
    <definedName name="gh" hidden="1">{"'장비'!$A$3:$M$12"}</definedName>
    <definedName name="ghfgdfrtert" localSheetId="3" hidden="1">{#N/A,#N/A,FALSE,"Plan1";#N/A,#N/A,FALSE,"Plan2"}</definedName>
    <definedName name="ghfgdfrtert" hidden="1">{#N/A,#N/A,FALSE,"Plan1";#N/A,#N/A,FALSE,"Plan2"}</definedName>
    <definedName name="ghfhghft" localSheetId="3" hidden="1">{#N/A,#N/A,FALSE,"Plan1";#N/A,#N/A,FALSE,"Plan2"}</definedName>
    <definedName name="ghfhghft" hidden="1">{#N/A,#N/A,FALSE,"Plan1";#N/A,#N/A,FALSE,"Plan2"}</definedName>
    <definedName name="ghjg" localSheetId="3" hidden="1">{"'Estimativa de Lançamento-JAN'!$A$1:$AI$85"}</definedName>
    <definedName name="ghjg" hidden="1">{"'Estimativa de Lançamento-JAN'!$A$1:$AI$85"}</definedName>
    <definedName name="ghkfhgh" localSheetId="3" hidden="1">{#N/A,#N/A,FALSE,"Plan1";#N/A,#N/A,FALSE,"Plan2"}</definedName>
    <definedName name="ghkfhgh" hidden="1">{#N/A,#N/A,FALSE,"Plan1";#N/A,#N/A,FALSE,"Plan2"}</definedName>
    <definedName name="ghkjh" localSheetId="3" hidden="1">{#N/A,#N/A,FALSE,"ENG'G(보호계전기)"}</definedName>
    <definedName name="ghkjh" hidden="1">{#N/A,#N/A,FALSE,"ENG'G(보호계전기)"}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3" hidden="1">{#N/A,#N/A,FALSE,"Plan1";#N/A,#N/A,FALSE,"Plan2"}</definedName>
    <definedName name="gjfhjktgcf" hidden="1">{#N/A,#N/A,FALSE,"Plan1";#N/A,#N/A,FALSE,"Plan2"}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3" hidden="1">{#N/A,#N/A,FALSE,"Plan1";#N/A,#N/A,FALSE,"Plan2"}</definedName>
    <definedName name="gjkhgjhjfggfjhfg" hidden="1">{#N/A,#N/A,FALSE,"Plan1";#N/A,#N/A,FALSE,"Plan2"}</definedName>
    <definedName name="glgl" localSheetId="3" hidden="1">{#N/A,#N/A,FALSE,"Plan1";#N/A,#N/A,FALSE,"Plan2"}</definedName>
    <definedName name="glgl" hidden="1">{#N/A,#N/A,FALSE,"Plan1";#N/A,#N/A,FALSE,"Plan2"}</definedName>
    <definedName name="GLOBAL">#REF!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3" hidden="1">{#N/A,#N/A,FALSE,"Plan1";#N/A,#N/A,FALSE,"Plan2"}</definedName>
    <definedName name="gtuigsdyugsdf" hidden="1">{#N/A,#N/A,FALSE,"Plan1";#N/A,#N/A,FALSE,"Plan2"}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3" hidden="1">{#N/A,#N/A,FALSE,"CCTV"}</definedName>
    <definedName name="GV" hidden="1">{#N/A,#N/A,FALSE,"CCTV"}</definedName>
    <definedName name="h">#REF!</definedName>
    <definedName name="hbjgjuae">#REF!</definedName>
    <definedName name="hcjfkhdghfktg" localSheetId="3" hidden="1">{#N/A,#N/A,FALSE,"Plan1";#N/A,#N/A,FALSE,"Plan2"}</definedName>
    <definedName name="hcjfkhdghfktg" hidden="1">{#N/A,#N/A,FALSE,"Plan1";#N/A,#N/A,FALSE,"Plan2"}</definedName>
    <definedName name="hckhjfdkgfdg" hidden="1">#REF!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3" hidden="1">{#N/A,#N/A,FALSE,"Plan1";#N/A,#N/A,FALSE,"Plan2"}</definedName>
    <definedName name="HDFGHGST" hidden="1">{#N/A,#N/A,FALSE,"Plan1";#N/A,#N/A,FALSE,"Plan2"}</definedName>
    <definedName name="HDFGJKHKFDHTY" localSheetId="3" hidden="1">{#N/A,#N/A,FALSE,"Plan1";#N/A,#N/A,FALSE,"Plan2"}</definedName>
    <definedName name="HDFGJKHKFDHTY" hidden="1">{#N/A,#N/A,FALSE,"Plan1";#N/A,#N/A,FALSE,"Plan2"}</definedName>
    <definedName name="hdfhdhrtgd" localSheetId="3" hidden="1">{#N/A,#N/A,FALSE,"Plan1";#N/A,#N/A,FALSE,"Plan2"}</definedName>
    <definedName name="hdfhdhrtgd" hidden="1">{#N/A,#N/A,FALSE,"Plan1";#N/A,#N/A,FALSE,"Plan2"}</definedName>
    <definedName name="hdfhftde" localSheetId="3" hidden="1">{#N/A,#N/A,FALSE,"Plan1";#N/A,#N/A,FALSE,"Plan2"}</definedName>
    <definedName name="hdfhftde" hidden="1">{#N/A,#N/A,FALSE,"Plan1";#N/A,#N/A,FALSE,"Plan2"}</definedName>
    <definedName name="hdfhgkdhgtrf" localSheetId="3" hidden="1">{#N/A,#N/A,FALSE,"Plan1";#N/A,#N/A,FALSE,"Plan2"}</definedName>
    <definedName name="hdfhgkdhgtrf" hidden="1">{#N/A,#N/A,FALSE,"Plan1";#N/A,#N/A,FALSE,"Plan2"}</definedName>
    <definedName name="hdfjhdkzhgdr" localSheetId="3" hidden="1">{#N/A,#N/A,FALSE,"Plan1";#N/A,#N/A,FALSE,"Plan2"}</definedName>
    <definedName name="hdfjhdkzhgdr" hidden="1">{#N/A,#N/A,FALSE,"Plan1";#N/A,#N/A,FALSE,"Plan2"}</definedName>
    <definedName name="hdfjkgvjgtd" localSheetId="3" hidden="1">{#N/A,#N/A,FALSE,"Plan1";#N/A,#N/A,FALSE,"Plan2"}</definedName>
    <definedName name="hdfjkgvjgtd" hidden="1">{#N/A,#N/A,FALSE,"Plan1";#N/A,#N/A,FALSE,"Plan2"}</definedName>
    <definedName name="hdfjkhdhrute" localSheetId="3" hidden="1">{#N/A,#N/A,FALSE,"Plan1";#N/A,#N/A,FALSE,"Plan2"}</definedName>
    <definedName name="hdfjkhdhrute" hidden="1">{#N/A,#N/A,FALSE,"Plan1";#N/A,#N/A,FALSE,"Plan2"}</definedName>
    <definedName name="HDFKGVF" localSheetId="3" hidden="1">{#N/A,#N/A,FALSE,"Plan1";#N/A,#N/A,FALSE,"Plan2"}</definedName>
    <definedName name="HDFKGVF" hidden="1">{#N/A,#N/A,FALSE,"Plan1";#N/A,#N/A,FALSE,"Plan2"}</definedName>
    <definedName name="hdgfhdgtdrt" localSheetId="3" hidden="1">{#N/A,#N/A,FALSE,"Plan1";#N/A,#N/A,FALSE,"Plan2"}</definedName>
    <definedName name="hdgfhdgtdrt" hidden="1">{#N/A,#N/A,FALSE,"Plan1";#N/A,#N/A,FALSE,"Plan2"}</definedName>
    <definedName name="hdghgtgtrgd" localSheetId="3" hidden="1">{#N/A,#N/A,FALSE,"Plan1";#N/A,#N/A,FALSE,"Plan2"}</definedName>
    <definedName name="hdghgtgtrgd" hidden="1">{#N/A,#N/A,FALSE,"Plan1";#N/A,#N/A,FALSE,"Plan2"}</definedName>
    <definedName name="HDHDGHTUHDTG" localSheetId="3" hidden="1">{#N/A,#N/A,FALSE,"Plan1";#N/A,#N/A,FALSE,"Plan2"}</definedName>
    <definedName name="HDHDGHTUHDTG" hidden="1">{#N/A,#N/A,FALSE,"Plan1";#N/A,#N/A,FALSE,"Plan2"}</definedName>
    <definedName name="hdhghfthrrhy" localSheetId="3" hidden="1">{#N/A,#N/A,FALSE,"Plan1";#N/A,#N/A,FALSE,"Plan2"}</definedName>
    <definedName name="hdhghfthrrhy" hidden="1">{#N/A,#N/A,FALSE,"Plan1";#N/A,#N/A,FALSE,"Plan2"}</definedName>
    <definedName name="hdkfjhydjh" localSheetId="3" hidden="1">{#N/A,#N/A,FALSE,"Plan1";#N/A,#N/A,FALSE,"Plan2"}</definedName>
    <definedName name="hdkfjhydjh" hidden="1">{#N/A,#N/A,FALSE,"Plan1";#N/A,#N/A,FALSE,"Plan2"}</definedName>
    <definedName name="hdsgfgrrdgr" localSheetId="3" hidden="1">{#N/A,#N/A,FALSE,"Plan1";#N/A,#N/A,FALSE,"Plan2"}</definedName>
    <definedName name="hdsgfgrrdgr" hidden="1">{#N/A,#N/A,FALSE,"Plan1";#N/A,#N/A,FALSE,"Plan2"}</definedName>
    <definedName name="hdtertkkdsa" localSheetId="3" hidden="1">{#N/A,#N/A,FALSE,"Plan1";#N/A,#N/A,FALSE,"Plan2"}</definedName>
    <definedName name="hdtertkkdsa" hidden="1">{#N/A,#N/A,FALSE,"Plan1";#N/A,#N/A,FALSE,"Plan2"}</definedName>
    <definedName name="Header">#REF!</definedName>
    <definedName name="HEDHA" localSheetId="3" hidden="1">{#N/A,#N/A,FALSE,"Plan1";#N/A,#N/A,FALSE,"Plan2"}</definedName>
    <definedName name="HEDHA" hidden="1">{#N/A,#N/A,FALSE,"Plan1";#N/A,#N/A,FALSE,"Plan2"}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localSheetId="3" hidden="1">{#N/A,#N/A,FALSE,"Plan1";#N/A,#N/A,FALSE,"Plan2"}</definedName>
    <definedName name="herkfdshfker" hidden="1">{#N/A,#N/A,FALSE,"Plan1";#N/A,#N/A,FALSE,"Plan2"}</definedName>
    <definedName name="hersdtretyt" localSheetId="3" hidden="1">{#N/A,#N/A,FALSE,"Plan1";#N/A,#N/A,FALSE,"Plan2"}</definedName>
    <definedName name="hersdtretyt" hidden="1">{#N/A,#N/A,FALSE,"Plan1";#N/A,#N/A,FALSE,"Plan2"}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3" hidden="1">{#N/A,#N/A,FALSE,"Plan1";#N/A,#N/A,FALSE,"Plan2"}</definedName>
    <definedName name="HFDKHGFR" hidden="1">{#N/A,#N/A,FALSE,"Plan1";#N/A,#N/A,FALSE,"Plan2"}</definedName>
    <definedName name="hfdkhgkfdhtj" localSheetId="3" hidden="1">{#N/A,#N/A,FALSE,"Plan1";#N/A,#N/A,FALSE,"Plan2"}</definedName>
    <definedName name="hfdkhgkfdhtj" hidden="1">{#N/A,#N/A,FALSE,"Plan1";#N/A,#N/A,FALSE,"Plan2"}</definedName>
    <definedName name="hfgfktgkhyt" localSheetId="3" hidden="1">{#N/A,#N/A,FALSE,"Plan1";#N/A,#N/A,FALSE,"Plan2"}</definedName>
    <definedName name="hfgfktgkhyt" hidden="1">{#N/A,#N/A,FALSE,"Plan1";#N/A,#N/A,FALSE,"Plan2"}</definedName>
    <definedName name="hfghdkhrgkjg" localSheetId="3" hidden="1">{#N/A,#N/A,FALSE,"Plan1";#N/A,#N/A,FALSE,"Plan2"}</definedName>
    <definedName name="hfghdkhrgkjg" hidden="1">{#N/A,#N/A,FALSE,"Plan1";#N/A,#N/A,FALSE,"Plan2"}</definedName>
    <definedName name="hfighfth" localSheetId="3" hidden="1">{#N/A,#N/A,FALSE,"Plan1";#N/A,#N/A,FALSE,"Plan2"}</definedName>
    <definedName name="hfighfth" hidden="1">{#N/A,#N/A,FALSE,"Plan1";#N/A,#N/A,FALSE,"Plan2"}</definedName>
    <definedName name="hfjghtfuyrf" localSheetId="3" hidden="1">{#N/A,#N/A,FALSE,"Plan1";#N/A,#N/A,FALSE,"Plan2"}</definedName>
    <definedName name="hfjghtfuyrf" hidden="1">{#N/A,#N/A,FALSE,"Plan1";#N/A,#N/A,FALSE,"Plan2"}</definedName>
    <definedName name="HFKJHDJGHFJ" localSheetId="3" hidden="1">{#N/A,#N/A,FALSE,"Plan1";#N/A,#N/A,FALSE,"Plan2"}</definedName>
    <definedName name="HFKJHDJGHFJ" hidden="1">{#N/A,#N/A,FALSE,"Plan1";#N/A,#N/A,FALSE,"Plan2"}</definedName>
    <definedName name="hgdesgfgsj" localSheetId="3" hidden="1">{#N/A,#N/A,FALSE,"Plan1";#N/A,#N/A,FALSE,"Plan2"}</definedName>
    <definedName name="hgdesgfgsj" hidden="1">{#N/A,#N/A,FALSE,"Plan1";#N/A,#N/A,FALSE,"Plan2"}</definedName>
    <definedName name="hgdgfd" localSheetId="3" hidden="1">{#N/A,#N/A,FALSE,"Plan1";#N/A,#N/A,FALSE,"Plan2"}</definedName>
    <definedName name="hgdgfd" hidden="1">{#N/A,#N/A,FALSE,"Plan1";#N/A,#N/A,FALSE,"Plan2"}</definedName>
    <definedName name="hgfhjkdfhj" localSheetId="3" hidden="1">{#N/A,#N/A,FALSE,"Plan1";#N/A,#N/A,FALSE,"Plan2"}</definedName>
    <definedName name="hgfhjkdfhj" hidden="1">{#N/A,#N/A,FALSE,"Plan1";#N/A,#N/A,FALSE,"Plan2"}</definedName>
    <definedName name="hgg" localSheetId="3" hidden="1">{#N/A,#N/A,FALSE,"Plan1";#N/A,#N/A,FALSE,"Plan2"}</definedName>
    <definedName name="hgg" hidden="1">{#N/A,#N/A,FALSE,"Plan1";#N/A,#N/A,FALSE,"Plan2"}</definedName>
    <definedName name="hgjdfgghg" localSheetId="3" hidden="1">{#N/A,#N/A,FALSE,"Plan1";#N/A,#N/A,FALSE,"Plan2"}</definedName>
    <definedName name="hgjdfgghg" hidden="1">{#N/A,#N/A,FALSE,"Plan1";#N/A,#N/A,FALSE,"Plan2"}</definedName>
    <definedName name="hgjkfdhg" localSheetId="3" hidden="1">{#N/A,#N/A,FALSE,"Plan1";#N/A,#N/A,FALSE,"Plan2"}</definedName>
    <definedName name="hgjkfdhg" hidden="1">{#N/A,#N/A,FALSE,"Plan1";#N/A,#N/A,FALSE,"Plan2"}</definedName>
    <definedName name="hgkdfhkfk" localSheetId="3" hidden="1">{#N/A,#N/A,FALSE,"Plan1";#N/A,#N/A,FALSE,"Plan2"}</definedName>
    <definedName name="hgkdfhkfk" hidden="1">{#N/A,#N/A,FALSE,"Plan1";#N/A,#N/A,FALSE,"Plan2"}</definedName>
    <definedName name="hgkjhdfhtrdyt" localSheetId="3" hidden="1">{#N/A,#N/A,FALSE,"Plan1";#N/A,#N/A,FALSE,"Plan2"}</definedName>
    <definedName name="hgkjhdfhtrdyt" hidden="1">{#N/A,#N/A,FALSE,"Plan1";#N/A,#N/A,FALSE,"Plan2"}</definedName>
    <definedName name="hgkjhdfkhgtfhg" localSheetId="3" hidden="1">{#N/A,#N/A,FALSE,"Plan1";#N/A,#N/A,FALSE,"Plan2"}</definedName>
    <definedName name="hgkjhdfkhgtfhg" hidden="1">{#N/A,#N/A,FALSE,"Plan1";#N/A,#N/A,FALSE,"Plan2"}</definedName>
    <definedName name="hgkjhkfhsdkdhgk" localSheetId="3" hidden="1">{#N/A,#N/A,FALSE,"Plan1";#N/A,#N/A,FALSE,"Plan2"}</definedName>
    <definedName name="hgkjhkfhsdkdhgk" hidden="1">{#N/A,#N/A,FALSE,"Plan1";#N/A,#N/A,FALSE,"Plan2"}</definedName>
    <definedName name="hgsufgdhghd" localSheetId="3" hidden="1">{#N/A,#N/A,FALSE,"Plan1";#N/A,#N/A,FALSE,"Plan2"}</definedName>
    <definedName name="hgsufgdhghd" hidden="1">{#N/A,#N/A,FALSE,"Plan1";#N/A,#N/A,FALSE,"Plan2"}</definedName>
    <definedName name="HHGFHTYUT" localSheetId="3" hidden="1">{#N/A,#N/A,FALSE,"Plan1";#N/A,#N/A,FALSE,"Plan2"}</definedName>
    <definedName name="HHGFHTYUT" hidden="1">{#N/A,#N/A,FALSE,"Plan1";#N/A,#N/A,FALSE,"Plan2"}</definedName>
    <definedName name="hhh" localSheetId="3" hidden="1">{"'Total'!$A$1","'Total'!$A$3"}</definedName>
    <definedName name="hhh" hidden="1">{"'Total'!$A$1","'Total'!$A$3"}</definedName>
    <definedName name="HHIHLK" hidden="1">#REF!</definedName>
    <definedName name="hik" localSheetId="3" hidden="1">{#N/A,#N/A,FALSE,"TABLE"}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localSheetId="3" hidden="1">{#N/A,#N/A,FALSE,"Plan1";#N/A,#N/A,FALSE,"Plan2"}</definedName>
    <definedName name="hjdgtjdjxrfg" hidden="1">{#N/A,#N/A,FALSE,"Plan1";#N/A,#N/A,FALSE,"Plan2"}</definedName>
    <definedName name="HJFDGD" localSheetId="3" hidden="1">{#N/A,#N/A,FALSE,"Plan1";#N/A,#N/A,FALSE,"Plan2"}</definedName>
    <definedName name="HJFDGD" hidden="1">{#N/A,#N/A,FALSE,"Plan1";#N/A,#N/A,FALSE,"Plan2"}</definedName>
    <definedName name="HJGASD" localSheetId="3" hidden="1">{#N/A,#N/A,FALSE,"Plan1";#N/A,#N/A,FALSE,"Plan2"}</definedName>
    <definedName name="HJGASD" hidden="1">{#N/A,#N/A,FALSE,"Plan1";#N/A,#N/A,FALSE,"Plan2"}</definedName>
    <definedName name="HJGFGTFDG" localSheetId="3" hidden="1">{#N/A,#N/A,FALSE,"Plan1";#N/A,#N/A,FALSE,"Plan2"}</definedName>
    <definedName name="HJGFGTFDG" hidden="1">{#N/A,#N/A,FALSE,"Plan1";#N/A,#N/A,FALSE,"Plan2"}</definedName>
    <definedName name="hjgfhdsgfhsd" localSheetId="3" hidden="1">{#N/A,#N/A,FALSE,"Plan1";#N/A,#N/A,FALSE,"Plan2"}</definedName>
    <definedName name="hjgfhdsgfhsd" hidden="1">{#N/A,#N/A,FALSE,"Plan1";#N/A,#N/A,FALSE,"Plan2"}</definedName>
    <definedName name="hjgxfjgdjyftr" localSheetId="3" hidden="1">{#N/A,#N/A,FALSE,"Plan1";#N/A,#N/A,FALSE,"Plan2"}</definedName>
    <definedName name="hjgxfjgdjyftr" hidden="1">{#N/A,#N/A,FALSE,"Plan1";#N/A,#N/A,FALSE,"Plan2"}</definedName>
    <definedName name="hjgyugasd" localSheetId="3" hidden="1">{#N/A,#N/A,FALSE,"Plan1";#N/A,#N/A,FALSE,"Plan2"}</definedName>
    <definedName name="hjgyugasd" hidden="1">{#N/A,#N/A,FALSE,"Plan1";#N/A,#N/A,FALSE,"Plan2"}</definedName>
    <definedName name="hjjfyfy" localSheetId="3" hidden="1">{#N/A,#N/A,FALSE,"Plan1";#N/A,#N/A,FALSE,"Plan2"}</definedName>
    <definedName name="hjjfyfy" hidden="1">{#N/A,#N/A,FALSE,"Plan1";#N/A,#N/A,FALSE,"Plan2"}</definedName>
    <definedName name="hjkchkvjhdjkgh" localSheetId="3" hidden="1">{#N/A,#N/A,FALSE,"Plan1";#N/A,#N/A,FALSE,"Plan2"}</definedName>
    <definedName name="hjkchkvjhdjkgh" hidden="1">{#N/A,#N/A,FALSE,"Plan1";#N/A,#N/A,FALSE,"Plan2"}</definedName>
    <definedName name="hjkfjdyht" localSheetId="3" hidden="1">{#N/A,#N/A,FALSE,"Plan1";#N/A,#N/A,FALSE,"Plan2"}</definedName>
    <definedName name="hjkfjdyht" hidden="1">{#N/A,#N/A,FALSE,"Plan1";#N/A,#N/A,FALSE,"Plan2"}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3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3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3" hidden="1">{#N/A,#N/A,FALSE,"Plan1";#N/A,#N/A,FALSE,"Plan2"}</definedName>
    <definedName name="HKewewsr" hidden="1">{#N/A,#N/A,FALSE,"Plan1";#N/A,#N/A,FALSE,"Plan2"}</definedName>
    <definedName name="hkhdskacd" localSheetId="3" hidden="1">{#N/A,#N/A,FALSE,"Plan1";#N/A,#N/A,FALSE,"Plan2"}</definedName>
    <definedName name="hkhdskacd" hidden="1">{#N/A,#N/A,FALSE,"Plan1";#N/A,#N/A,FALSE,"Plan2"}</definedName>
    <definedName name="hkjfgfhgfh" localSheetId="3" hidden="1">{#N/A,#N/A,FALSE,"Plan1";#N/A,#N/A,FALSE,"Plan2"}</definedName>
    <definedName name="hkjfgfhgfh" hidden="1">{#N/A,#N/A,FALSE,"Plan1";#N/A,#N/A,FALSE,"Plan2"}</definedName>
    <definedName name="hkjfhgjkfhghfg" localSheetId="3" hidden="1">{#N/A,#N/A,FALSE,"Plan1";#N/A,#N/A,FALSE,"Plan2"}</definedName>
    <definedName name="hkjfhgjkfhghfg" hidden="1">{#N/A,#N/A,FALSE,"Plan1";#N/A,#N/A,FALSE,"Plan2"}</definedName>
    <definedName name="HKLZHFRH" localSheetId="3" hidden="1">{#N/A,#N/A,FALSE,"Plan1";#N/A,#N/A,FALSE,"Plan2"}</definedName>
    <definedName name="HKLZHFRH" hidden="1">{#N/A,#N/A,FALSE,"Plan1";#N/A,#N/A,FALSE,"Plan2"}</definedName>
    <definedName name="ho" localSheetId="3" hidden="1">{#N/A,#N/A,FALSE,"TABLE"}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localSheetId="3" hidden="1">{#N/A,#N/A,FALSE,"Plan1";#N/A,#N/A,FALSE,"Plan2"}</definedName>
    <definedName name="hrterte" hidden="1">{#N/A,#N/A,FALSE,"Plan1";#N/A,#N/A,FALSE,"Plan2"}</definedName>
    <definedName name="hsdf" localSheetId="3" hidden="1">{#N/A,#N/A,FALSE,"Plan1";#N/A,#N/A,FALSE,"Plan2"}</definedName>
    <definedName name="hsdf" hidden="1">{#N/A,#N/A,FALSE,"Plan1";#N/A,#N/A,FALSE,"Plan2"}</definedName>
    <definedName name="hsdfgdgudrt" localSheetId="3" hidden="1">{#N/A,#N/A,FALSE,"Plan1";#N/A,#N/A,FALSE,"Plan2"}</definedName>
    <definedName name="hsdfgdgudrt" hidden="1">{#N/A,#N/A,FALSE,"Plan1";#N/A,#N/A,FALSE,"Plan2"}</definedName>
    <definedName name="hsdfjkdhur" localSheetId="3" hidden="1">{#N/A,#N/A,FALSE,"Plan1";#N/A,#N/A,FALSE,"Plan2"}</definedName>
    <definedName name="hsdfjkdhur" hidden="1">{#N/A,#N/A,FALSE,"Plan1";#N/A,#N/A,FALSE,"Plan2"}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3" hidden="1">{#N/A,#N/A,FALSE,"Plan1";#N/A,#N/A,FALSE,"Plan2"}</definedName>
    <definedName name="hsdjffd" hidden="1">{#N/A,#N/A,FALSE,"Plan1";#N/A,#N/A,FALSE,"Plan2"}</definedName>
    <definedName name="hsdjffe" localSheetId="3" hidden="1">{#N/A,#N/A,FALSE,"Plan1";#N/A,#N/A,FALSE,"Plan2"}</definedName>
    <definedName name="hsdjffe" hidden="1">{#N/A,#N/A,FALSE,"Plan1";#N/A,#N/A,FALSE,"Plan2"}</definedName>
    <definedName name="HSFIHDTR" localSheetId="3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3" hidden="1">{#N/A,#N/A,FALSE,"Plan1";#N/A,#N/A,FALSE,"Plan2"}</definedName>
    <definedName name="hsfjkdshrgf" hidden="1">{#N/A,#N/A,FALSE,"Plan1";#N/A,#N/A,FALSE,"Plan2"}</definedName>
    <definedName name="hthhrtetdre" localSheetId="3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localSheetId="3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3" hidden="1">{"'Estimativa de Lançamento-JAN'!$A$1:$AI$85"}</definedName>
    <definedName name="HTML2_CONTROL" hidden="1">{"'Estimativa de Lançamento-JAN'!$A$1:$AI$85"}</definedName>
    <definedName name="HTML3_CONTROL" localSheetId="3" hidden="1">{"'Estimativa de Lançamento-JAN'!$A$1:$AI$85"}</definedName>
    <definedName name="HTML3_CONTROL" hidden="1">{"'Estimativa de Lançamento-JAN'!$A$1:$AI$85"}</definedName>
    <definedName name="HTMLControl" localSheetId="3" hidden="1">{"'Edit'!$A$1:$V$2277"}</definedName>
    <definedName name="HTMLControl" hidden="1">{"'Edit'!$A$1:$V$2277"}</definedName>
    <definedName name="HTN">#REF!</definedName>
    <definedName name="HVJKHGKFXHFD" localSheetId="3" hidden="1">{#N/A,#N/A,FALSE,"Plan1";#N/A,#N/A,FALSE,"Plan2"}</definedName>
    <definedName name="HVJKHGKFXHFD" hidden="1">{#N/A,#N/A,FALSE,"Plan1";#N/A,#N/A,FALSE,"Plan2"}</definedName>
    <definedName name="hwekjhekhf" localSheetId="3" hidden="1">{#N/A,#N/A,FALSE,"Plan1";#N/A,#N/A,FALSE,"Plan2"}</definedName>
    <definedName name="hwekjhekhf" hidden="1">{#N/A,#N/A,FALSE,"Plan1";#N/A,#N/A,FALSE,"Plan2"}</definedName>
    <definedName name="HXFRE" localSheetId="3" hidden="1">{#N/A,#N/A,FALSE,"Plan1";#N/A,#N/A,FALSE,"Plan2"}</definedName>
    <definedName name="HXFRE" hidden="1">{#N/A,#N/A,FALSE,"Plan1";#N/A,#N/A,FALSE,"Plan2"}</definedName>
    <definedName name="HXKJFGDKHG" localSheetId="3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3" hidden="1">{#N/A,#N/A,FALSE,"Plan1";#N/A,#N/A,FALSE,"Plan2"}</definedName>
    <definedName name="idfhgkjhfkthy" hidden="1">{#N/A,#N/A,FALSE,"Plan1";#N/A,#N/A,FALSE,"Plan2"}</definedName>
    <definedName name="ieroweft" localSheetId="3" hidden="1">{#N/A,#N/A,FALSE,"Plan1";#N/A,#N/A,FALSE,"Plan2"}</definedName>
    <definedName name="ieroweft" hidden="1">{#N/A,#N/A,FALSE,"Plan1";#N/A,#N/A,FALSE,"Plan2"}</definedName>
    <definedName name="iewpotqi5poejy" localSheetId="3" hidden="1">{#N/A,#N/A,FALSE,"Plan1";#N/A,#N/A,FALSE,"Plan2"}</definedName>
    <definedName name="iewpotqi5poejy" hidden="1">{#N/A,#N/A,FALSE,"Plan1";#N/A,#N/A,FALSE,"Plan2"}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localSheetId="3" hidden="1">{#N/A,#N/A,FALSE,"Plan1";#N/A,#N/A,FALSE,"Plan2"}</definedName>
    <definedName name="ihfdkjhktgrd" hidden="1">{#N/A,#N/A,FALSE,"Plan1";#N/A,#N/A,FALSE,"Plan2"}</definedName>
    <definedName name="ihrtetw4r" localSheetId="3" hidden="1">{#N/A,#N/A,FALSE,"Plan1";#N/A,#N/A,FALSE,"Plan2"}</definedName>
    <definedName name="ihrtetw4r" hidden="1">{#N/A,#N/A,FALSE,"Plan1";#N/A,#N/A,FALSE,"Plan2"}</definedName>
    <definedName name="II">#REF!</definedName>
    <definedName name="IIASDSAWE" localSheetId="3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3" hidden="1">{#N/A,#N/A,FALSE,"Plan1";#N/A,#N/A,FALSE,"Plan2"}</definedName>
    <definedName name="ilhweilrji4e" hidden="1">{#N/A,#N/A,FALSE,"Plan1";#N/A,#N/A,FALSE,"Plan2"}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localSheetId="3" hidden="1">{"'Edit'!$A$1:$V$2277"}</definedName>
    <definedName name="INTEGRA" hidden="1">{"'Edit'!$A$1:$V$2277"}</definedName>
    <definedName name="IO">196.003</definedName>
    <definedName name="ioeriotyt" localSheetId="3" hidden="1">{#N/A,#N/A,FALSE,"Plan1";#N/A,#N/A,FALSE,"Plan2"}</definedName>
    <definedName name="ioeriotyt" hidden="1">{#N/A,#N/A,FALSE,"Plan1";#N/A,#N/A,FALSE,"Plan2"}</definedName>
    <definedName name="iohudtorh" localSheetId="3" hidden="1">{#N/A,#N/A,FALSE,"Plan1";#N/A,#N/A,FALSE,"Plan2"}</definedName>
    <definedName name="iohudtorh" hidden="1">{#N/A,#N/A,FALSE,"Plan1";#N/A,#N/A,FALSE,"Plan2"}</definedName>
    <definedName name="iojtkheayed" localSheetId="3" hidden="1">{#N/A,#N/A,FALSE,"Plan1";#N/A,#N/A,FALSE,"Plan2"}</definedName>
    <definedName name="iojtkheayed" hidden="1">{#N/A,#N/A,FALSE,"Plan1";#N/A,#N/A,FALSE,"Plan2"}</definedName>
    <definedName name="iouweroieuw4" localSheetId="3" hidden="1">{#N/A,#N/A,FALSE,"Plan1";#N/A,#N/A,FALSE,"Plan2"}</definedName>
    <definedName name="iouweroieuw4" hidden="1">{#N/A,#N/A,FALSE,"Plan1";#N/A,#N/A,FALSE,"Plan2"}</definedName>
    <definedName name="iphifpgh" localSheetId="3" hidden="1">{#N/A,#N/A,FALSE,"Plan1";#N/A,#N/A,FALSE,"Plan2"}</definedName>
    <definedName name="iphifpgh" hidden="1">{#N/A,#N/A,FALSE,"Plan1";#N/A,#N/A,FALSE,"Plan2"}</definedName>
    <definedName name="IPMF">#REF!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3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5">#REF!</definedName>
    <definedName name="item_1" localSheetId="17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localSheetId="3" hidden="1">{#N/A,#N/A,FALSE,"Plan1";#N/A,#N/A,FALSE,"Plan2"}</definedName>
    <definedName name="iyguygiyt" hidden="1">{#N/A,#N/A,FALSE,"Plan1";#N/A,#N/A,FALSE,"Plan2"}</definedName>
    <definedName name="iyuyheturtd" localSheetId="3" hidden="1">{#N/A,#N/A,FALSE,"Plan1";#N/A,#N/A,FALSE,"Plan2"}</definedName>
    <definedName name="iyuyheturtd" hidden="1">{#N/A,#N/A,FALSE,"Plan1";#N/A,#N/A,FALSE,"Plan2"}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3" hidden="1">{#N/A,#N/A,FALSE,"Plan1";#N/A,#N/A,FALSE,"Plan2"}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localSheetId="3" hidden="1">{#N/A,#N/A,FALSE,"Plan1";#N/A,#N/A,FALSE,"Plan2"}</definedName>
    <definedName name="JASDJS" hidden="1">{#N/A,#N/A,FALSE,"Plan1";#N/A,#N/A,FALSE,"Plan2"}</definedName>
    <definedName name="jaskldjlse" localSheetId="3" hidden="1">{#N/A,#N/A,FALSE,"Plan1";#N/A,#N/A,FALSE,"Plan2"}</definedName>
    <definedName name="jaskldjlse" hidden="1">{#N/A,#N/A,FALSE,"Plan1";#N/A,#N/A,FALSE,"Plan2"}</definedName>
    <definedName name="JASLDKLD" localSheetId="3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localSheetId="3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3" hidden="1">{#N/A,#N/A,FALSE,"Plan1";#N/A,#N/A,FALSE,"Plan2"}</definedName>
    <definedName name="jdbgftbhr" hidden="1">{#N/A,#N/A,FALSE,"Plan1";#N/A,#N/A,FALSE,"Plan2"}</definedName>
    <definedName name="jdfgkrhgft" hidden="1">#REF!</definedName>
    <definedName name="jdfgldfjgklh" localSheetId="3" hidden="1">{#N/A,#N/A,FALSE,"Plan1";#N/A,#N/A,FALSE,"Plan2"}</definedName>
    <definedName name="jdfgldfjgklh" hidden="1">{#N/A,#N/A,FALSE,"Plan1";#N/A,#N/A,FALSE,"Plan2"}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3" hidden="1">{#N/A,#N/A,FALSE,"Plan1";#N/A,#N/A,FALSE,"Plan2"}</definedName>
    <definedName name="jdfjdtrgt" hidden="1">{#N/A,#N/A,FALSE,"Plan1";#N/A,#N/A,FALSE,"Plan2"}</definedName>
    <definedName name="JDFJLDJR" localSheetId="3" hidden="1">{#N/A,#N/A,FALSE,"Plan1";#N/A,#N/A,FALSE,"Plan2"}</definedName>
    <definedName name="JDFJLDJR" hidden="1">{#N/A,#N/A,FALSE,"Plan1";#N/A,#N/A,FALSE,"Plan2"}</definedName>
    <definedName name="jdfkgitfgdrtt" localSheetId="3" hidden="1">{#N/A,#N/A,FALSE,"Plan1";#N/A,#N/A,FALSE,"Plan2"}</definedName>
    <definedName name="jdfkgitfgdrtt" hidden="1">{#N/A,#N/A,FALSE,"Plan1";#N/A,#N/A,FALSE,"Plan2"}</definedName>
    <definedName name="JDFKHFKJ" localSheetId="3" hidden="1">{#N/A,#N/A,FALSE,"Plan1";#N/A,#N/A,FALSE,"Plan2"}</definedName>
    <definedName name="JDFKHFKJ" hidden="1">{#N/A,#N/A,FALSE,"Plan1";#N/A,#N/A,FALSE,"Plan2"}</definedName>
    <definedName name="jdfklgtdtr" localSheetId="3" hidden="1">{#N/A,#N/A,FALSE,"Plan1";#N/A,#N/A,FALSE,"Plan2"}</definedName>
    <definedName name="jdfklgtdtr" hidden="1">{#N/A,#N/A,FALSE,"Plan1";#N/A,#N/A,FALSE,"Plan2"}</definedName>
    <definedName name="JDFKTHRT" localSheetId="3" hidden="1">{#N/A,#N/A,FALSE,"Plan1";#N/A,#N/A,FALSE,"Plan2"}</definedName>
    <definedName name="JDFKTHRT" hidden="1">{#N/A,#N/A,FALSE,"Plan1";#N/A,#N/A,FALSE,"Plan2"}</definedName>
    <definedName name="JDFLKJDRF" localSheetId="3" hidden="1">{#N/A,#N/A,FALSE,"Plan1";#N/A,#N/A,FALSE,"Plan2"}</definedName>
    <definedName name="JDFLKJDRF" hidden="1">{#N/A,#N/A,FALSE,"Plan1";#N/A,#N/A,FALSE,"Plan2"}</definedName>
    <definedName name="jdfzlkjgfdht" localSheetId="3" hidden="1">{#N/A,#N/A,FALSE,"Plan1";#N/A,#N/A,FALSE,"Plan2"}</definedName>
    <definedName name="jdfzlkjgfdht" hidden="1">{#N/A,#N/A,FALSE,"Plan1";#N/A,#N/A,FALSE,"Plan2"}</definedName>
    <definedName name="jdglhfghkt" localSheetId="3" hidden="1">{#N/A,#N/A,FALSE,"Plan1";#N/A,#N/A,FALSE,"Plan2"}</definedName>
    <definedName name="jdglhfghkt" hidden="1">{#N/A,#N/A,FALSE,"Plan1";#N/A,#N/A,FALSE,"Plan2"}</definedName>
    <definedName name="jdhfjdhgfd" localSheetId="3" hidden="1">{#N/A,#N/A,FALSE,"Plan1";#N/A,#N/A,FALSE,"Plan2"}</definedName>
    <definedName name="jdhfjdhgfd" hidden="1">{#N/A,#N/A,FALSE,"Plan1";#N/A,#N/A,FALSE,"Plan2"}</definedName>
    <definedName name="jdjdjdjd" localSheetId="3" hidden="1">{#N/A,#N/A,FALSE,"명세표"}</definedName>
    <definedName name="jdjdjdjd" hidden="1">{#N/A,#N/A,FALSE,"명세표"}</definedName>
    <definedName name="jdkfhgjhf" localSheetId="3" hidden="1">{#N/A,#N/A,FALSE,"Plan1";#N/A,#N/A,FALSE,"Plan2"}</definedName>
    <definedName name="jdkfhgjhf" hidden="1">{#N/A,#N/A,FALSE,"Plan1";#N/A,#N/A,FALSE,"Plan2"}</definedName>
    <definedName name="jdkfjdtr" localSheetId="3" hidden="1">{#N/A,#N/A,FALSE,"Plan1";#N/A,#N/A,FALSE,"Plan2"}</definedName>
    <definedName name="jdkfjdtr" hidden="1">{#N/A,#N/A,FALSE,"Plan1";#N/A,#N/A,FALSE,"Plan2"}</definedName>
    <definedName name="jdljgftldjti5r" localSheetId="3" hidden="1">{#N/A,#N/A,FALSE,"Plan1";#N/A,#N/A,FALSE,"Plan2"}</definedName>
    <definedName name="jdljgftldjti5r" hidden="1">{#N/A,#N/A,FALSE,"Plan1";#N/A,#N/A,FALSE,"Plan2"}</definedName>
    <definedName name="JDLKJDASGF" localSheetId="3" hidden="1">{#N/A,#N/A,FALSE,"Plan1";#N/A,#N/A,FALSE,"Plan2"}</definedName>
    <definedName name="JDLKJDASGF" hidden="1">{#N/A,#N/A,FALSE,"Plan1";#N/A,#N/A,FALSE,"Plan2"}</definedName>
    <definedName name="jdrfkdjfghrtfjg" localSheetId="3" hidden="1">{#N/A,#N/A,FALSE,"Plan1";#N/A,#N/A,FALSE,"Plan2"}</definedName>
    <definedName name="jdrfkdjfghrtfjg" hidden="1">{#N/A,#N/A,FALSE,"Plan1";#N/A,#N/A,FALSE,"Plan2"}</definedName>
    <definedName name="jdskfhdk" localSheetId="3" hidden="1">{#N/A,#N/A,FALSE,"Plan1";#N/A,#N/A,FALSE,"Plan2"}</definedName>
    <definedName name="jdskfhdk" hidden="1">{#N/A,#N/A,FALSE,"Plan1";#N/A,#N/A,FALSE,"Plan2"}</definedName>
    <definedName name="JDSKLGKDRHGGF" localSheetId="3" hidden="1">{#N/A,#N/A,FALSE,"Plan1";#N/A,#N/A,FALSE,"Plan2"}</definedName>
    <definedName name="JDSKLGKDRHGGF" hidden="1">{#N/A,#N/A,FALSE,"Plan1";#N/A,#N/A,FALSE,"Plan2"}</definedName>
    <definedName name="jefsgfr" localSheetId="3" hidden="1">{#N/A,#N/A,FALSE,"Plan1";#N/A,#N/A,FALSE,"Plan2"}</definedName>
    <definedName name="jefsgfr" hidden="1">{#N/A,#N/A,FALSE,"Plan1";#N/A,#N/A,FALSE,"Plan2"}</definedName>
    <definedName name="JERHIEHYURE" localSheetId="3" hidden="1">{#N/A,#N/A,FALSE,"Plan1";#N/A,#N/A,FALSE,"Plan2"}</definedName>
    <definedName name="JERHIEHYURE" hidden="1">{#N/A,#N/A,FALSE,"Plan1";#N/A,#N/A,FALSE,"Plan2"}</definedName>
    <definedName name="jfddlsrtyty" localSheetId="3" hidden="1">{#N/A,#N/A,FALSE,"Plan1";#N/A,#N/A,FALSE,"Plan2"}</definedName>
    <definedName name="jfddlsrtyty" hidden="1">{#N/A,#N/A,FALSE,"Plan1";#N/A,#N/A,FALSE,"Plan2"}</definedName>
    <definedName name="jfdjtgdjghitfyh" localSheetId="3" hidden="1">{#N/A,#N/A,FALSE,"Plan1";#N/A,#N/A,FALSE,"Plan2"}</definedName>
    <definedName name="jfdjtgdjghitfyh" hidden="1">{#N/A,#N/A,FALSE,"Plan1";#N/A,#N/A,FALSE,"Plan2"}</definedName>
    <definedName name="jfdkgkftftg" localSheetId="3" hidden="1">{#N/A,#N/A,FALSE,"Plan1";#N/A,#N/A,FALSE,"Plan2"}</definedName>
    <definedName name="jfdkgkftftg" hidden="1">{#N/A,#N/A,FALSE,"Plan1";#N/A,#N/A,FALSE,"Plan2"}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3" hidden="1">{#N/A,#N/A,FALSE,"Plan1";#N/A,#N/A,FALSE,"Plan2"}</definedName>
    <definedName name="JFGJYHTY" hidden="1">{#N/A,#N/A,FALSE,"Plan1";#N/A,#N/A,FALSE,"Plan2"}</definedName>
    <definedName name="jfgkflcnjkglc" localSheetId="3" hidden="1">{#N/A,#N/A,FALSE,"Plan1";#N/A,#N/A,FALSE,"Plan2"}</definedName>
    <definedName name="jfgkflcnjkglc" hidden="1">{#N/A,#N/A,FALSE,"Plan1";#N/A,#N/A,FALSE,"Plan2"}</definedName>
    <definedName name="JFHRE" localSheetId="3" hidden="1">{#N/A,#N/A,FALSE,"Plan1";#N/A,#N/A,FALSE,"Plan2"}</definedName>
    <definedName name="JFHRE" hidden="1">{#N/A,#N/A,FALSE,"Plan1";#N/A,#N/A,FALSE,"Plan2"}</definedName>
    <definedName name="jfkdls5jtirjd" localSheetId="3" hidden="1">{#N/A,#N/A,FALSE,"Plan1";#N/A,#N/A,FALSE,"Plan2"}</definedName>
    <definedName name="jfkdls5jtirjd" hidden="1">{#N/A,#N/A,FALSE,"Plan1";#N/A,#N/A,FALSE,"Plan2"}</definedName>
    <definedName name="jfkljdkfcj" localSheetId="3" hidden="1">{#N/A,#N/A,FALSE,"Plan1";#N/A,#N/A,FALSE,"Plan2"}</definedName>
    <definedName name="jfkljdkfcj" hidden="1">{#N/A,#N/A,FALSE,"Plan1";#N/A,#N/A,FALSE,"Plan2"}</definedName>
    <definedName name="jfkrhdtghdut" localSheetId="3" hidden="1">{#N/A,#N/A,FALSE,"Plan1";#N/A,#N/A,FALSE,"Plan2"}</definedName>
    <definedName name="jfkrhdtghdut" hidden="1">{#N/A,#N/A,FALSE,"Plan1";#N/A,#N/A,FALSE,"Plan2"}</definedName>
    <definedName name="JFRESR" localSheetId="3" hidden="1">{#N/A,#N/A,FALSE,"Plan1";#N/A,#N/A,FALSE,"Plan2"}</definedName>
    <definedName name="JFRESR" hidden="1">{#N/A,#N/A,FALSE,"Plan1";#N/A,#N/A,FALSE,"Plan2"}</definedName>
    <definedName name="jgdfdgfjgdj" localSheetId="3" hidden="1">{#N/A,#N/A,FALSE,"Plan1";#N/A,#N/A,FALSE,"Plan2"}</definedName>
    <definedName name="jgdfdgfjgdj" hidden="1">{#N/A,#N/A,FALSE,"Plan1";#N/A,#N/A,FALSE,"Plan2"}</definedName>
    <definedName name="jgdfght" localSheetId="3" hidden="1">{#N/A,#N/A,FALSE,"Plan1";#N/A,#N/A,FALSE,"Plan2"}</definedName>
    <definedName name="jgdfght" hidden="1">{#N/A,#N/A,FALSE,"Plan1";#N/A,#N/A,FALSE,"Plan2"}</definedName>
    <definedName name="jgfgdsgfdhrf" localSheetId="3" hidden="1">{#N/A,#N/A,FALSE,"Plan1";#N/A,#N/A,FALSE,"Plan2"}</definedName>
    <definedName name="jgfgdsgfdhrf" hidden="1">{#N/A,#N/A,FALSE,"Plan1";#N/A,#N/A,FALSE,"Plan2"}</definedName>
    <definedName name="JGFJGTFT" localSheetId="3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3" hidden="1">{#N/A,#N/A,FALSE,"Plan1";#N/A,#N/A,FALSE,"Plan2"}</definedName>
    <definedName name="jgkjkhjuftgi" hidden="1">{#N/A,#N/A,FALSE,"Plan1";#N/A,#N/A,FALSE,"Plan2"}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3" hidden="1">{#N/A,#N/A,FALSE,"Plan1";#N/A,#N/A,FALSE,"Plan2"}</definedName>
    <definedName name="jhdfjjhirft" hidden="1">{#N/A,#N/A,FALSE,"Plan1";#N/A,#N/A,FALSE,"Plan2"}</definedName>
    <definedName name="jhdfjkhtrdhf" localSheetId="3" hidden="1">{#N/A,#N/A,FALSE,"Plan1";#N/A,#N/A,FALSE,"Plan2"}</definedName>
    <definedName name="jhdfjkhtrdhf" hidden="1">{#N/A,#N/A,FALSE,"Plan1";#N/A,#N/A,FALSE,"Plan2"}</definedName>
    <definedName name="jhdfuthr" localSheetId="3" hidden="1">{#N/A,#N/A,FALSE,"Plan1";#N/A,#N/A,FALSE,"Plan2"}</definedName>
    <definedName name="jhdfuthr" hidden="1">{#N/A,#N/A,FALSE,"Plan1";#N/A,#N/A,FALSE,"Plan2"}</definedName>
    <definedName name="JHDFZGRDHF" localSheetId="3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3" hidden="1">{#N/A,#N/A,FALSE,"Plan1";#N/A,#N/A,FALSE,"Plan2"}</definedName>
    <definedName name="JHERKHKFGH" hidden="1">{#N/A,#N/A,FALSE,"Plan1";#N/A,#N/A,FALSE,"Plan2"}</definedName>
    <definedName name="jhfhhztfhe" hidden="1">#REF!</definedName>
    <definedName name="JHGKJFJFJGL" localSheetId="3" hidden="1">{#N/A,#N/A,FALSE,"Plan1";#N/A,#N/A,FALSE,"Plan2"}</definedName>
    <definedName name="JHGKJFJFJGL" hidden="1">{#N/A,#N/A,FALSE,"Plan1";#N/A,#N/A,FALSE,"Plan2"}</definedName>
    <definedName name="jhsdjkhfuks" localSheetId="3" hidden="1">{#N/A,#N/A,FALSE,"Plan1";#N/A,#N/A,FALSE,"Plan2"}</definedName>
    <definedName name="jhsdjkhfuks" hidden="1">{#N/A,#N/A,FALSE,"Plan1";#N/A,#N/A,FALSE,"Plan2"}</definedName>
    <definedName name="jisdrkje" localSheetId="3" hidden="1">{#N/A,#N/A,FALSE,"Plan1";#N/A,#N/A,FALSE,"Plan2"}</definedName>
    <definedName name="jisdrkje" hidden="1">{#N/A,#N/A,FALSE,"Plan1";#N/A,#N/A,FALSE,"Plan2"}</definedName>
    <definedName name="jishfrieyhtau" localSheetId="3" hidden="1">{#N/A,#N/A,FALSE,"Plan1";#N/A,#N/A,FALSE,"Plan2"}</definedName>
    <definedName name="jishfrieyhtau" hidden="1">{#N/A,#N/A,FALSE,"Plan1";#N/A,#N/A,FALSE,"Plan2"}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3" hidden="1">{"'Apr-00'!$B$4:$AD$44"}</definedName>
    <definedName name="jj" hidden="1">{"'Apr-00'!$B$4:$AD$44"}</definedName>
    <definedName name="jjfdsktyhhy" localSheetId="3" hidden="1">{#N/A,#N/A,FALSE,"Plan1";#N/A,#N/A,FALSE,"Plan2"}</definedName>
    <definedName name="jjfdsktyhhy" hidden="1">{#N/A,#N/A,FALSE,"Plan1";#N/A,#N/A,FALSE,"Plan2"}</definedName>
    <definedName name="jjjjjjjjjjjjjjjjjjjj">#REF!</definedName>
    <definedName name="jjkjkjk" localSheetId="3" hidden="1">{#N/A,#N/A,FALSE,"Plan1";#N/A,#N/A,FALSE,"Plan2"}</definedName>
    <definedName name="jjkjkjk" hidden="1">{#N/A,#N/A,FALSE,"Plan1";#N/A,#N/A,FALSE,"Plan2"}</definedName>
    <definedName name="JKDCK" localSheetId="3" hidden="1">{#N/A,#N/A,FALSE,"Plan1";#N/A,#N/A,FALSE,"Plan2"}</definedName>
    <definedName name="JKDCK" hidden="1">{#N/A,#N/A,FALSE,"Plan1";#N/A,#N/A,FALSE,"Plan2"}</definedName>
    <definedName name="JKDFHKHFR" localSheetId="3" hidden="1">{#N/A,#N/A,FALSE,"Plan1";#N/A,#N/A,FALSE,"Plan2"}</definedName>
    <definedName name="JKDFHKHFR" hidden="1">{#N/A,#N/A,FALSE,"Plan1";#N/A,#N/A,FALSE,"Plan2"}</definedName>
    <definedName name="JKDFTRDRJ" localSheetId="3" hidden="1">{#N/A,#N/A,FALSE,"Plan1";#N/A,#N/A,FALSE,"Plan2"}</definedName>
    <definedName name="JKDFTRDRJ" hidden="1">{#N/A,#N/A,FALSE,"Plan1";#N/A,#N/A,FALSE,"Plan2"}</definedName>
    <definedName name="jkdhfukhddf" localSheetId="3" hidden="1">{#N/A,#N/A,FALSE,"Plan1";#N/A,#N/A,FALSE,"Plan2"}</definedName>
    <definedName name="jkdhfukhddf" hidden="1">{#N/A,#N/A,FALSE,"Plan1";#N/A,#N/A,FALSE,"Plan2"}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3" hidden="1">{#N/A,#N/A,FALSE,"Plan1";#N/A,#N/A,FALSE,"Plan2"}</definedName>
    <definedName name="jkelsjreja" hidden="1">{#N/A,#N/A,FALSE,"Plan1";#N/A,#N/A,FALSE,"Plan2"}</definedName>
    <definedName name="jkfhjgkfhghh" localSheetId="3" hidden="1">{#N/A,#N/A,FALSE,"Plan1";#N/A,#N/A,FALSE,"Plan2"}</definedName>
    <definedName name="jkfhjgkfhghh" hidden="1">{#N/A,#N/A,FALSE,"Plan1";#N/A,#N/A,FALSE,"Plan2"}</definedName>
    <definedName name="jkhderjkhes" localSheetId="3" hidden="1">{#N/A,#N/A,FALSE,"Plan1";#N/A,#N/A,FALSE,"Plan2"}</definedName>
    <definedName name="jkhderjkhes" hidden="1">{#N/A,#N/A,FALSE,"Plan1";#N/A,#N/A,FALSE,"Plan2"}</definedName>
    <definedName name="jkhdfhfd" localSheetId="3" hidden="1">{#N/A,#N/A,FALSE,"Plan1";#N/A,#N/A,FALSE,"Plan2"}</definedName>
    <definedName name="jkhdfhfd" hidden="1">{#N/A,#N/A,FALSE,"Plan1";#N/A,#N/A,FALSE,"Plan2"}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3" hidden="1">{#N/A,#N/A,FALSE,"Plan1";#N/A,#N/A,FALSE,"Plan2"}</definedName>
    <definedName name="JKHFKJHGKFTHUDET" hidden="1">{#N/A,#N/A,FALSE,"Plan1";#N/A,#N/A,FALSE,"Plan2"}</definedName>
    <definedName name="JKHGDHFUHTG" localSheetId="3" hidden="1">{#N/A,#N/A,FALSE,"Plan1";#N/A,#N/A,FALSE,"Plan2"}</definedName>
    <definedName name="JKHGDHFUHTG" hidden="1">{#N/A,#N/A,FALSE,"Plan1";#N/A,#N/A,FALSE,"Plan2"}</definedName>
    <definedName name="jkhsdzjkfyiu" localSheetId="3" hidden="1">{#N/A,#N/A,FALSE,"Plan1";#N/A,#N/A,FALSE,"Plan2"}</definedName>
    <definedName name="jkhsdzjkfyiu" hidden="1">{#N/A,#N/A,FALSE,"Plan1";#N/A,#N/A,FALSE,"Plan2"}</definedName>
    <definedName name="jkjsdkhfdhrf" localSheetId="3" hidden="1">{#N/A,#N/A,FALSE,"Plan1";#N/A,#N/A,FALSE,"Plan2"}</definedName>
    <definedName name="jkjsdkhfdhrf" hidden="1">{#N/A,#N/A,FALSE,"Plan1";#N/A,#N/A,FALSE,"Plan2"}</definedName>
    <definedName name="jklgfsjgtjtg" localSheetId="3" hidden="1">{#N/A,#N/A,FALSE,"Plan1";#N/A,#N/A,FALSE,"Plan2"}</definedName>
    <definedName name="jklgfsjgtjtg" hidden="1">{#N/A,#N/A,FALSE,"Plan1";#N/A,#N/A,FALSE,"Plan2"}</definedName>
    <definedName name="jksldfjsdhf" localSheetId="3" hidden="1">{#N/A,#N/A,FALSE,"Plan1";#N/A,#N/A,FALSE,"Plan2"}</definedName>
    <definedName name="jksldfjsdhf" hidden="1">{#N/A,#N/A,FALSE,"Plan1";#N/A,#N/A,FALSE,"Plan2"}</definedName>
    <definedName name="jkxhcjkhfr" localSheetId="3" hidden="1">{#N/A,#N/A,FALSE,"Plan1";#N/A,#N/A,FALSE,"Plan2"}</definedName>
    <definedName name="jkxhcjkhfr" hidden="1">{#N/A,#N/A,FALSE,"Plan1";#N/A,#N/A,FALSE,"Plan2"}</definedName>
    <definedName name="JNGCKFKJFGH" localSheetId="3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localSheetId="3" hidden="1">{#N/A,#N/A,FALSE,"Plan1";#N/A,#N/A,FALSE,"Plan2"}</definedName>
    <definedName name="JREJRW" hidden="1">{#N/A,#N/A,FALSE,"Plan1";#N/A,#N/A,FALSE,"Plan2"}</definedName>
    <definedName name="JSADKAH" localSheetId="3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3" hidden="1">{#N/A,#N/A,FALSE,"Plan1";#N/A,#N/A,FALSE,"Plan2"}</definedName>
    <definedName name="JSDAJRE" hidden="1">{#N/A,#N/A,FALSE,"Plan1";#N/A,#N/A,FALSE,"Plan2"}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3" hidden="1">{#N/A,#N/A,FALSE,"Plan1";#N/A,#N/A,FALSE,"Plan2"}</definedName>
    <definedName name="jsdfjgx" hidden="1">{#N/A,#N/A,FALSE,"Plan1";#N/A,#N/A,FALSE,"Plan2"}</definedName>
    <definedName name="jsdfkgnfr" hidden="1">#REF!</definedName>
    <definedName name="jsdfsdfd" localSheetId="3" hidden="1">{#N/A,#N/A,FALSE,"Plan1";#N/A,#N/A,FALSE,"Plan2"}</definedName>
    <definedName name="jsdfsdfd" hidden="1">{#N/A,#N/A,FALSE,"Plan1";#N/A,#N/A,FALSE,"Plan2"}</definedName>
    <definedName name="jsdljficd" localSheetId="3" hidden="1">{#N/A,#N/A,FALSE,"Plan1";#N/A,#N/A,FALSE,"Plan2"}</definedName>
    <definedName name="jsdljficd" hidden="1">{#N/A,#N/A,FALSE,"Plan1";#N/A,#N/A,FALSE,"Plan2"}</definedName>
    <definedName name="JSDTLFJDRG" localSheetId="3" hidden="1">{#N/A,#N/A,FALSE,"Plan1";#N/A,#N/A,FALSE,"Plan2"}</definedName>
    <definedName name="JSDTLFJDRG" hidden="1">{#N/A,#N/A,FALSE,"Plan1";#N/A,#N/A,FALSE,"Plan2"}</definedName>
    <definedName name="jsfjsjferwea" localSheetId="3" hidden="1">{#N/A,#N/A,FALSE,"Plan1";#N/A,#N/A,FALSE,"Plan2"}</definedName>
    <definedName name="jsfjsjferwea" hidden="1">{#N/A,#N/A,FALSE,"Plan1";#N/A,#N/A,FALSE,"Plan2"}</definedName>
    <definedName name="jslrjer" localSheetId="3" hidden="1">{#N/A,#N/A,FALSE,"Plan1";#N/A,#N/A,FALSE,"Plan2"}</definedName>
    <definedName name="jslrjer" hidden="1">{#N/A,#N/A,FALSE,"Plan1";#N/A,#N/A,FALSE,"Plan2"}</definedName>
    <definedName name="juklhkhdf" localSheetId="3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localSheetId="3" hidden="1">{#N/A,#N/A,TRUE,"Quinzena 01 à 15-04-98 "}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localSheetId="3" hidden="1">{#N/A,#N/A,FALSE,"Plan1";#N/A,#N/A,FALSE,"Plan2"}</definedName>
    <definedName name="jwekljd" hidden="1">{#N/A,#N/A,FALSE,"Plan1";#N/A,#N/A,FALSE,"Plan2"}</definedName>
    <definedName name="JWEOITORU5Y" localSheetId="3" hidden="1">{#N/A,#N/A,FALSE,"Plan1";#N/A,#N/A,FALSE,"Plan2"}</definedName>
    <definedName name="JWEOITORU5Y" hidden="1">{#N/A,#N/A,FALSE,"Plan1";#N/A,#N/A,FALSE,"Plan2"}</definedName>
    <definedName name="jxdfjsrf" localSheetId="3" hidden="1">{#N/A,#N/A,FALSE,"Plan1";#N/A,#N/A,FALSE,"Plan2"}</definedName>
    <definedName name="jxdfjsrf" hidden="1">{#N/A,#N/A,FALSE,"Plan1";#N/A,#N/A,FALSE,"Plan2"}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localSheetId="3" hidden="1">{#N/A,#N/A,FALSE,"Plan1";#N/A,#N/A,FALSE,"Plan2"}</definedName>
    <definedName name="jzsdjkszl" hidden="1">{#N/A,#N/A,FALSE,"Plan1";#N/A,#N/A,FALSE,"Plan2"}</definedName>
    <definedName name="JZXFKLJLDJF" localSheetId="3" hidden="1">{#N/A,#N/A,FALSE,"Plan1";#N/A,#N/A,FALSE,"Plan2"}</definedName>
    <definedName name="JZXFKLJLDJF" hidden="1">{#N/A,#N/A,FALSE,"Plan1";#N/A,#N/A,FALSE,"Plan2"}</definedName>
    <definedName name="jzxklfdlvgfg" localSheetId="3" hidden="1">{#N/A,#N/A,FALSE,"Plan1";#N/A,#N/A,FALSE,"Plan2"}</definedName>
    <definedName name="jzxklfdlvgfg" hidden="1">{#N/A,#N/A,FALSE,"Plan1";#N/A,#N/A,FALSE,"Plan2"}</definedName>
    <definedName name="k" localSheetId="3" hidden="1">{#N/A,#N/A,FALSE,"Plan1";#N/A,#N/A,FALSE,"Plan2"}</definedName>
    <definedName name="k" hidden="1">{#N/A,#N/A,FALSE,"Plan1";#N/A,#N/A,FALSE,"Plan2"}</definedName>
    <definedName name="K_1">#REF!</definedName>
    <definedName name="kaedkroswr" localSheetId="3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localSheetId="3" hidden="1">{#N/A,#N/A,FALSE,"Plan1";#N/A,#N/A,FALSE,"Plan2"}</definedName>
    <definedName name="kç\lKçaksdçaqew" hidden="1">{#N/A,#N/A,FALSE,"Plan1";#N/A,#N/A,FALSE,"Plan2"}</definedName>
    <definedName name="kçdasekr" localSheetId="3" hidden="1">{#N/A,#N/A,FALSE,"Plan1";#N/A,#N/A,FALSE,"Plan2"}</definedName>
    <definedName name="kçdasekr" hidden="1">{#N/A,#N/A,FALSE,"Plan1";#N/A,#N/A,FALSE,"Plan2"}</definedName>
    <definedName name="kçfdljtredr" localSheetId="3" hidden="1">{#N/A,#N/A,FALSE,"Plan1";#N/A,#N/A,FALSE,"Plan2"}</definedName>
    <definedName name="kçfdljtredr" hidden="1">{#N/A,#N/A,FALSE,"Plan1";#N/A,#N/A,FALSE,"Plan2"}</definedName>
    <definedName name="KCIVIL">#REF!</definedName>
    <definedName name="kclçkglf" localSheetId="3" hidden="1">{#N/A,#N/A,FALSE,"Plan1";#N/A,#N/A,FALSE,"Plan2"}</definedName>
    <definedName name="kclçkglf" hidden="1">{#N/A,#N/A,FALSE,"Plan1";#N/A,#N/A,FALSE,"Plan2"}</definedName>
    <definedName name="kçlkasçkere" localSheetId="3" hidden="1">{#N/A,#N/A,FALSE,"Plan1";#N/A,#N/A,FALSE,"Plan2"}</definedName>
    <definedName name="kçlkasçkere" hidden="1">{#N/A,#N/A,FALSE,"Plan1";#N/A,#N/A,FALSE,"Plan2"}</definedName>
    <definedName name="kdfbngtjkbf" localSheetId="3" hidden="1">{#N/A,#N/A,FALSE,"Plan1";#N/A,#N/A,FALSE,"Plan2"}</definedName>
    <definedName name="kdfbngtjkbf" hidden="1">{#N/A,#N/A,FALSE,"Plan1";#N/A,#N/A,FALSE,"Plan2"}</definedName>
    <definedName name="kdfhkghkrh" localSheetId="3" hidden="1">{#N/A,#N/A,FALSE,"Plan1";#N/A,#N/A,FALSE,"Plan2"}</definedName>
    <definedName name="kdfhkghkrh" hidden="1">{#N/A,#N/A,FALSE,"Plan1";#N/A,#N/A,FALSE,"Plan2"}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3" hidden="1">{#N/A,#N/A,FALSE,"Plan1";#N/A,#N/A,FALSE,"Plan2"}</definedName>
    <definedName name="kdfkçrkf" hidden="1">{#N/A,#N/A,FALSE,"Plan1";#N/A,#N/A,FALSE,"Plan2"}</definedName>
    <definedName name="kdfljlfr" localSheetId="3" hidden="1">{#N/A,#N/A,FALSE,"Plan1";#N/A,#N/A,FALSE,"Plan2"}</definedName>
    <definedName name="kdfljlfr" hidden="1">{#N/A,#N/A,FALSE,"Plan1";#N/A,#N/A,FALSE,"Plan2"}</definedName>
    <definedName name="kdhfgkdfhytgu" localSheetId="3" hidden="1">{#N/A,#N/A,FALSE,"Plan1";#N/A,#N/A,FALSE,"Plan2"}</definedName>
    <definedName name="kdhfgkdfhytgu" hidden="1">{#N/A,#N/A,FALSE,"Plan1";#N/A,#N/A,FALSE,"Plan2"}</definedName>
    <definedName name="kdhgftfg" localSheetId="3" hidden="1">{#N/A,#N/A,FALSE,"Plan1";#N/A,#N/A,FALSE,"Plan2"}</definedName>
    <definedName name="kdhgftfg" hidden="1">{#N/A,#N/A,FALSE,"Plan1";#N/A,#N/A,FALSE,"Plan2"}</definedName>
    <definedName name="KDHKFGKKHGF" localSheetId="3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localSheetId="3" hidden="1">{#N/A,#N/A,FALSE,"Plan1";#N/A,#N/A,FALSE,"Plan2"}</definedName>
    <definedName name="kdjgkfjgd" hidden="1">{#N/A,#N/A,FALSE,"Plan1";#N/A,#N/A,FALSE,"Plan2"}</definedName>
    <definedName name="kdjglkdlgjd" localSheetId="3" hidden="1">{#N/A,#N/A,FALSE,"Plan1";#N/A,#N/A,FALSE,"Plan2"}</definedName>
    <definedName name="kdjglkdlgjd" hidden="1">{#N/A,#N/A,FALSE,"Plan1";#N/A,#N/A,FALSE,"Plan2"}</definedName>
    <definedName name="kdjsfkldjgkty" localSheetId="3" hidden="1">{#N/A,#N/A,FALSE,"Plan1";#N/A,#N/A,FALSE,"Plan2"}</definedName>
    <definedName name="kdjsfkldjgkty" hidden="1">{#N/A,#N/A,FALSE,"Plan1";#N/A,#N/A,FALSE,"Plan2"}</definedName>
    <definedName name="KDJU" localSheetId="3" hidden="1">{"'장비'!$A$3:$M$12"}</definedName>
    <definedName name="KDJU" hidden="1">{"'장비'!$A$3:$M$12"}</definedName>
    <definedName name="kdkjhgdkfhjk" localSheetId="3" hidden="1">{#N/A,#N/A,FALSE,"Plan1";#N/A,#N/A,FALSE,"Plan2"}</definedName>
    <definedName name="kdkjhgdkfhjk" hidden="1">{#N/A,#N/A,FALSE,"Plan1";#N/A,#N/A,FALSE,"Plan2"}</definedName>
    <definedName name="kdsf" localSheetId="3" hidden="1">{#N/A,#N/A,FALSE,"Plan1";#N/A,#N/A,FALSE,"Plan2"}</definedName>
    <definedName name="kdsf" hidden="1">{#N/A,#N/A,FALSE,"Plan1";#N/A,#N/A,FALSE,"Plan2"}</definedName>
    <definedName name="kdsr" localSheetId="3" hidden="1">{#N/A,#N/A,FALSE,"Plan1";#N/A,#N/A,FALSE,"Plan2"}</definedName>
    <definedName name="kdsr" hidden="1">{#N/A,#N/A,FALSE,"Plan1";#N/A,#N/A,FALSE,"Plan2"}</definedName>
    <definedName name="kergtfdstr" localSheetId="3" hidden="1">{#N/A,#N/A,FALSE,"Plan1";#N/A,#N/A,FALSE,"Plan2"}</definedName>
    <definedName name="kergtfdstr" hidden="1">{#N/A,#N/A,FALSE,"Plan1";#N/A,#N/A,FALSE,"Plan2"}</definedName>
    <definedName name="kesp">#REF!</definedName>
    <definedName name="KFDKTHGT" localSheetId="3" hidden="1">{#N/A,#N/A,FALSE,"Plan1";#N/A,#N/A,FALSE,"Plan2"}</definedName>
    <definedName name="KFDKTHGT" hidden="1">{#N/A,#N/A,FALSE,"Plan1";#N/A,#N/A,FALSE,"Plan2"}</definedName>
    <definedName name="kfdxlfdzs" localSheetId="3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3" hidden="1">{#N/A,#N/A,FALSE,"Plan1";#N/A,#N/A,FALSE,"Plan2"}</definedName>
    <definedName name="kfgkhjkjhy" hidden="1">{#N/A,#N/A,FALSE,"Plan1";#N/A,#N/A,FALSE,"Plan2"}</definedName>
    <definedName name="KFJFDSDF" localSheetId="3" hidden="1">{#N/A,#N/A,FALSE,"Plan1";#N/A,#N/A,FALSE,"Plan2"}</definedName>
    <definedName name="KFJFDSDF" hidden="1">{#N/A,#N/A,FALSE,"Plan1";#N/A,#N/A,FALSE,"Plan2"}</definedName>
    <definedName name="kfnkeasd" localSheetId="3" hidden="1">{#N/A,#N/A,FALSE,"Plan1";#N/A,#N/A,FALSE,"Plan2"}</definedName>
    <definedName name="kfnkeasd" hidden="1">{#N/A,#N/A,FALSE,"Plan1";#N/A,#N/A,FALSE,"Plan2"}</definedName>
    <definedName name="khdjkfkjhtg" localSheetId="3" hidden="1">{#N/A,#N/A,FALSE,"Plan1";#N/A,#N/A,FALSE,"Plan2"}</definedName>
    <definedName name="khdjkfkjhtg" hidden="1">{#N/A,#N/A,FALSE,"Plan1";#N/A,#N/A,FALSE,"Plan2"}</definedName>
    <definedName name="khdkfjhhfsdg" localSheetId="3" hidden="1">{#N/A,#N/A,FALSE,"Plan1";#N/A,#N/A,FALSE,"Plan2"}</definedName>
    <definedName name="khdkfjhhfsdg" hidden="1">{#N/A,#N/A,FALSE,"Plan1";#N/A,#N/A,FALSE,"Plan2"}</definedName>
    <definedName name="khdkjfhgudytu" localSheetId="3" hidden="1">{#N/A,#N/A,FALSE,"Plan1";#N/A,#N/A,FALSE,"Plan2"}</definedName>
    <definedName name="khdkjfhgudytu" hidden="1">{#N/A,#N/A,FALSE,"Plan1";#N/A,#N/A,FALSE,"Plan2"}</definedName>
    <definedName name="khfdghhhgd" localSheetId="3" hidden="1">{#N/A,#N/A,FALSE,"Plan1";#N/A,#N/A,FALSE,"Plan2"}</definedName>
    <definedName name="khfdghhhgd" hidden="1">{#N/A,#N/A,FALSE,"Plan1";#N/A,#N/A,FALSE,"Plan2"}</definedName>
    <definedName name="khfdkjhsdjf" localSheetId="3" hidden="1">{#N/A,#N/A,FALSE,"Plan1";#N/A,#N/A,FALSE,"Plan2"}</definedName>
    <definedName name="khfdkjhsdjf" hidden="1">{#N/A,#N/A,FALSE,"Plan1";#N/A,#N/A,FALSE,"Plan2"}</definedName>
    <definedName name="khgdkftfy" localSheetId="3" hidden="1">{#N/A,#N/A,FALSE,"Plan1";#N/A,#N/A,FALSE,"Plan2"}</definedName>
    <definedName name="khgdkftfy" hidden="1">{#N/A,#N/A,FALSE,"Plan1";#N/A,#N/A,FALSE,"Plan2"}</definedName>
    <definedName name="khgfhhtuhf" localSheetId="3" hidden="1">{#N/A,#N/A,FALSE,"Plan1";#N/A,#N/A,FALSE,"Plan2"}</definedName>
    <definedName name="khgfhhtuhf" hidden="1">{#N/A,#N/A,FALSE,"Plan1";#N/A,#N/A,FALSE,"Plan2"}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3" hidden="1">{#N/A,#N/A,FALSE,"Plan1";#N/A,#N/A,FALSE,"Plan2"}</definedName>
    <definedName name="KHJKLSDF" hidden="1">{#N/A,#N/A,FALSE,"Plan1";#N/A,#N/A,FALSE,"Plan2"}</definedName>
    <definedName name="kieret" localSheetId="3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localSheetId="3" hidden="1">{#N/A,#N/A,FALSE,"Plan1";#N/A,#N/A,FALSE,"Plan2"}</definedName>
    <definedName name="kjchkfhsezk" hidden="1">{#N/A,#N/A,FALSE,"Plan1";#N/A,#N/A,FALSE,"Plan2"}</definedName>
    <definedName name="kjdghksef" localSheetId="3" hidden="1">{#N/A,#N/A,FALSE,"Plan1";#N/A,#N/A,FALSE,"Plan2"}</definedName>
    <definedName name="kjdghksef" hidden="1">{#N/A,#N/A,FALSE,"Plan1";#N/A,#N/A,FALSE,"Plan2"}</definedName>
    <definedName name="kjdkftyhtert" localSheetId="3" hidden="1">{#N/A,#N/A,FALSE,"Plan1";#N/A,#N/A,FALSE,"Plan2"}</definedName>
    <definedName name="kjdkftyhtert" hidden="1">{#N/A,#N/A,FALSE,"Plan1";#N/A,#N/A,FALSE,"Plan2"}</definedName>
    <definedName name="kjdlfkjds" localSheetId="3" hidden="1">{#N/A,#N/A,FALSE,"Plan1";#N/A,#N/A,FALSE,"Plan2"}</definedName>
    <definedName name="kjdlfkjds" hidden="1">{#N/A,#N/A,FALSE,"Plan1";#N/A,#N/A,FALSE,"Plan2"}</definedName>
    <definedName name="kjdzhfytrfy" localSheetId="3" hidden="1">{#N/A,#N/A,FALSE,"Plan1";#N/A,#N/A,FALSE,"Plan2"}</definedName>
    <definedName name="kjdzhfytrfy" hidden="1">{#N/A,#N/A,FALSE,"Plan1";#N/A,#N/A,FALSE,"Plan2"}</definedName>
    <definedName name="kjhdfgjthdft" localSheetId="3" hidden="1">{#N/A,#N/A,FALSE,"Plan1";#N/A,#N/A,FALSE,"Plan2"}</definedName>
    <definedName name="kjhdfgjthdft" hidden="1">{#N/A,#N/A,FALSE,"Plan1";#N/A,#N/A,FALSE,"Plan2"}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3" hidden="1">{#N/A,#N/A,FALSE,"Plan1";#N/A,#N/A,FALSE,"Plan2"}</definedName>
    <definedName name="kjhsiorf" hidden="1">{#N/A,#N/A,FALSE,"Plan1";#N/A,#N/A,FALSE,"Plan2"}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3" hidden="1">{#N/A,#N/A,FALSE,"Plan1";#N/A,#N/A,FALSE,"Plan2"}</definedName>
    <definedName name="kjjwww" hidden="1">{#N/A,#N/A,FALSE,"Plan1";#N/A,#N/A,FALSE,"Plan2"}</definedName>
    <definedName name="kjl" localSheetId="3" hidden="1">{#N/A,#N/A,FALSE,"ENG'G(보호계전기)"}</definedName>
    <definedName name="kjl" hidden="1">{#N/A,#N/A,FALSE,"ENG'G(보호계전기)"}</definedName>
    <definedName name="KJOI" localSheetId="3" hidden="1">{#N/A,#N/A,FALSE,"Plan1";#N/A,#N/A,FALSE,"Plan2"}</definedName>
    <definedName name="KJOI" hidden="1">{#N/A,#N/A,FALSE,"Plan1";#N/A,#N/A,FALSE,"Plan2"}</definedName>
    <definedName name="kjqwerw" localSheetId="3" hidden="1">{#N/A,#N/A,FALSE,"Plan1";#N/A,#N/A,FALSE,"Plan2"}</definedName>
    <definedName name="kjqwerw" hidden="1">{#N/A,#N/A,FALSE,"Plan1";#N/A,#N/A,FALSE,"Plan2"}</definedName>
    <definedName name="kjsfert" localSheetId="3" hidden="1">{#N/A,#N/A,FALSE,"Plan1";#N/A,#N/A,FALSE,"Plan2"}</definedName>
    <definedName name="kjsfert" hidden="1">{#N/A,#N/A,FALSE,"Plan1";#N/A,#N/A,FALSE,"Plan2"}</definedName>
    <definedName name="KJXCFKR" localSheetId="3" hidden="1">{#N/A,#N/A,FALSE,"Plan1";#N/A,#N/A,FALSE,"Plan2"}</definedName>
    <definedName name="KJXCFKR" hidden="1">{#N/A,#N/A,FALSE,"Plan1";#N/A,#N/A,FALSE,"Plan2"}</definedName>
    <definedName name="KJXDFD" localSheetId="3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3" hidden="1">{#N/A,#N/A,FALSE,"Plan1";#N/A,#N/A,FALSE,"Plan2"}</definedName>
    <definedName name="kkk" hidden="1">{#N/A,#N/A,FALSE,"Plan1";#N/A,#N/A,FALSE,"Plan2"}</definedName>
    <definedName name="kkkkk" localSheetId="3" hidden="1">{#N/A,#N/A,FALSE,"Plan1";#N/A,#N/A,FALSE,"Plan2"}</definedName>
    <definedName name="kkkkk" hidden="1">{#N/A,#N/A,FALSE,"Plan1";#N/A,#N/A,FALSE,"Plan2"}</definedName>
    <definedName name="kkkkkk" localSheetId="3" hidden="1">{#N/A,#N/A,FALSE,"Plan1";#N/A,#N/A,FALSE,"Plan2"}</definedName>
    <definedName name="kkkkkk" hidden="1">{#N/A,#N/A,FALSE,"Plan1";#N/A,#N/A,FALSE,"Plan2"}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3" hidden="1">{#N/A,#N/A,FALSE,"Plan1";#N/A,#N/A,FALSE,"Plan2"}</definedName>
    <definedName name="kksaklçer" hidden="1">{#N/A,#N/A,FALSE,"Plan1";#N/A,#N/A,FALSE,"Plan2"}</definedName>
    <definedName name="kksarde" localSheetId="3" hidden="1">{#N/A,#N/A,FALSE,"Plan1";#N/A,#N/A,FALSE,"Plan2"}</definedName>
    <definedName name="kksarde" hidden="1">{#N/A,#N/A,FALSE,"Plan1";#N/A,#N/A,FALSE,"Plan2"}</definedName>
    <definedName name="klaskldjsw" localSheetId="3" hidden="1">{#N/A,#N/A,FALSE,"Plan1";#N/A,#N/A,FALSE,"Plan2"}</definedName>
    <definedName name="klaskldjsw" hidden="1">{#N/A,#N/A,FALSE,"Plan1";#N/A,#N/A,FALSE,"Plan2"}</definedName>
    <definedName name="klçkop" localSheetId="3" hidden="1">{#N/A,#N/A,FALSE,"Plan1";#N/A,#N/A,FALSE,"Plan2"}</definedName>
    <definedName name="klçkop" hidden="1">{#N/A,#N/A,FALSE,"Plan1";#N/A,#N/A,FALSE,"Plan2"}</definedName>
    <definedName name="KLDFNTRDT" localSheetId="3" hidden="1">{#N/A,#N/A,FALSE,"Plan1";#N/A,#N/A,FALSE,"Plan2"}</definedName>
    <definedName name="KLDFNTRDT" hidden="1">{#N/A,#N/A,FALSE,"Plan1";#N/A,#N/A,FALSE,"Plan2"}</definedName>
    <definedName name="klhjsdklhdf" localSheetId="3" hidden="1">{#N/A,#N/A,FALSE,"Plan1";#N/A,#N/A,FALSE,"Plan2"}</definedName>
    <definedName name="klhjsdklhdf" hidden="1">{#N/A,#N/A,FALSE,"Plan1";#N/A,#N/A,FALSE,"Plan2"}</definedName>
    <definedName name="KLHSKLRHWE" localSheetId="3" hidden="1">{#N/A,#N/A,FALSE,"Plan1";#N/A,#N/A,FALSE,"Plan2"}</definedName>
    <definedName name="KLHSKLRHWE" hidden="1">{#N/A,#N/A,FALSE,"Plan1";#N/A,#N/A,FALSE,"Plan2"}</definedName>
    <definedName name="KLJASKJD" localSheetId="3" hidden="1">{#N/A,#N/A,FALSE,"Plan1";#N/A,#N/A,FALSE,"Plan2"}</definedName>
    <definedName name="KLJASKJD" hidden="1">{#N/A,#N/A,FALSE,"Plan1";#N/A,#N/A,FALSE,"Plan2"}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3" hidden="1">{#N/A,#N/A,FALSE,"Plan1";#N/A,#N/A,FALSE,"Plan2"}</definedName>
    <definedName name="kljeflwr" hidden="1">{#N/A,#N/A,FALSE,"Plan1";#N/A,#N/A,FALSE,"Plan2"}</definedName>
    <definedName name="kljflgjrf" localSheetId="3" hidden="1">{#N/A,#N/A,FALSE,"Plan1";#N/A,#N/A,FALSE,"Plan2"}</definedName>
    <definedName name="kljflgjrf" hidden="1">{#N/A,#N/A,FALSE,"Plan1";#N/A,#N/A,FALSE,"Plan2"}</definedName>
    <definedName name="kljgfdfr" localSheetId="3" hidden="1">{#N/A,#N/A,FALSE,"Plan1";#N/A,#N/A,FALSE,"Plan2"}</definedName>
    <definedName name="kljgfdfr" hidden="1">{#N/A,#N/A,FALSE,"Plan1";#N/A,#N/A,FALSE,"Plan2"}</definedName>
    <definedName name="kljgfjrt" localSheetId="3" hidden="1">{#N/A,#N/A,FALSE,"Plan1";#N/A,#N/A,FALSE,"Plan2"}</definedName>
    <definedName name="kljgfjrt" hidden="1">{#N/A,#N/A,FALSE,"Plan1";#N/A,#N/A,FALSE,"Plan2"}</definedName>
    <definedName name="kljlkdfj" localSheetId="3" hidden="1">{#N/A,#N/A,FALSE,"Plan1";#N/A,#N/A,FALSE,"Plan2"}</definedName>
    <definedName name="kljlkdfj" hidden="1">{#N/A,#N/A,FALSE,"Plan1";#N/A,#N/A,FALSE,"Plan2"}</definedName>
    <definedName name="kljsakjfr" localSheetId="3" hidden="1">{#N/A,#N/A,FALSE,"Plan1";#N/A,#N/A,FALSE,"Plan2"}</definedName>
    <definedName name="kljsakjfr" hidden="1">{#N/A,#N/A,FALSE,"Plan1";#N/A,#N/A,FALSE,"Plan2"}</definedName>
    <definedName name="kljsdje" localSheetId="3" hidden="1">{#N/A,#N/A,FALSE,"Plan1";#N/A,#N/A,FALSE,"Plan2"}</definedName>
    <definedName name="kljsdje" hidden="1">{#N/A,#N/A,FALSE,"Plan1";#N/A,#N/A,FALSE,"Plan2"}</definedName>
    <definedName name="kljsfwe" localSheetId="3" hidden="1">{#N/A,#N/A,FALSE,"Plan1";#N/A,#N/A,FALSE,"Plan2"}</definedName>
    <definedName name="kljsfwe" hidden="1">{#N/A,#N/A,FALSE,"Plan1";#N/A,#N/A,FALSE,"Plan2"}</definedName>
    <definedName name="klk" localSheetId="3" hidden="1">{#N/A,#N/A,FALSE,"Plan1";#N/A,#N/A,FALSE,"Plan2"}</definedName>
    <definedName name="klk" hidden="1">{#N/A,#N/A,FALSE,"Plan1";#N/A,#N/A,FALSE,"Plan2"}</definedName>
    <definedName name="KLKKLKÇJÇ" localSheetId="3" hidden="1">{#N/A,#N/A,FALSE,"Plan1";#N/A,#N/A,FALSE,"Plan2"}</definedName>
    <definedName name="KLKKLKÇJÇ" hidden="1">{#N/A,#N/A,FALSE,"Plan1";#N/A,#N/A,FALSE,"Plan2"}</definedName>
    <definedName name="KLSDFT" localSheetId="3" hidden="1">{#N/A,#N/A,FALSE,"Plan1";#N/A,#N/A,FALSE,"Plan2"}</definedName>
    <definedName name="KLSDFT" hidden="1">{#N/A,#N/A,FALSE,"Plan1";#N/A,#N/A,FALSE,"Plan2"}</definedName>
    <definedName name="KLSDHSJKHF" localSheetId="3" hidden="1">{#N/A,#N/A,FALSE,"Plan1";#N/A,#N/A,FALSE,"Plan2"}</definedName>
    <definedName name="KLSDHSJKHF" hidden="1">{#N/A,#N/A,FALSE,"Plan1";#N/A,#N/A,FALSE,"Plan2"}</definedName>
    <definedName name="klsdkre" localSheetId="3" hidden="1">{#N/A,#N/A,FALSE,"Plan1";#N/A,#N/A,FALSE,"Plan2"}</definedName>
    <definedName name="klsdkre" hidden="1">{#N/A,#N/A,FALSE,"Plan1";#N/A,#N/A,FALSE,"Plan2"}</definedName>
    <definedName name="KLSIDJE" localSheetId="3" hidden="1">{#N/A,#N/A,FALSE,"Plan1";#N/A,#N/A,FALSE,"Plan2"}</definedName>
    <definedName name="KLSIDJE" hidden="1">{#N/A,#N/A,FALSE,"Plan1";#N/A,#N/A,FALSE,"Plan2"}</definedName>
    <definedName name="klsjarsf" localSheetId="3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localSheetId="3" hidden="1">{#N/A,#N/A,FALSE,"Plan1";#N/A,#N/A,FALSE,"Plan2"}</definedName>
    <definedName name="klxhjfdkhser" hidden="1">{#N/A,#N/A,FALSE,"Plan1";#N/A,#N/A,FALSE,"Plan2"}</definedName>
    <definedName name="kopipnsdfne" localSheetId="3" hidden="1">{#N/A,#N/A,FALSE,"Plan1";#N/A,#N/A,FALSE,"Plan2"}</definedName>
    <definedName name="kopipnsdfne" hidden="1">{#N/A,#N/A,FALSE,"Plan1";#N/A,#N/A,FALSE,"Plan2"}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3" hidden="1">{#N/A,#N/A,FALSE,"Plan1";#N/A,#N/A,FALSE,"Plan2"}</definedName>
    <definedName name="KSDLDF" hidden="1">{#N/A,#N/A,FALSE,"Plan1";#N/A,#N/A,FALSE,"Plan2"}</definedName>
    <definedName name="ksdlkfsçzd" localSheetId="3" hidden="1">{#N/A,#N/A,FALSE,"Plan1";#N/A,#N/A,FALSE,"Plan2"}</definedName>
    <definedName name="ksdlkfsçzd" hidden="1">{#N/A,#N/A,FALSE,"Plan1";#N/A,#N/A,FALSE,"Plan2"}</definedName>
    <definedName name="KSDNFK">#REF!</definedName>
    <definedName name="ksdoçierfe" localSheetId="3" hidden="1">{#N/A,#N/A,FALSE,"Plan1";#N/A,#N/A,FALSE,"Plan2"}</definedName>
    <definedName name="ksdoçierfe" hidden="1">{#N/A,#N/A,FALSE,"Plan1";#N/A,#N/A,FALSE,"Plan2"}</definedName>
    <definedName name="ksdtrdrkf" localSheetId="3" hidden="1">{#N/A,#N/A,FALSE,"Plan1";#N/A,#N/A,FALSE,"Plan2"}</definedName>
    <definedName name="ksdtrdrkf" hidden="1">{#N/A,#N/A,FALSE,"Plan1";#N/A,#N/A,FALSE,"Plan2"}</definedName>
    <definedName name="KSFÇJDFJL" localSheetId="3" hidden="1">{#N/A,#N/A,FALSE,"Plan1";#N/A,#N/A,FALSE,"Plan2"}</definedName>
    <definedName name="KSFÇJDFJL" hidden="1">{#N/A,#N/A,FALSE,"Plan1";#N/A,#N/A,FALSE,"Plan2"}</definedName>
    <definedName name="ksfhse" localSheetId="3" hidden="1">{#N/A,#N/A,FALSE,"Plan1";#N/A,#N/A,FALSE,"Plan2"}</definedName>
    <definedName name="ksfhse" hidden="1">{#N/A,#N/A,FALSE,"Plan1";#N/A,#N/A,FALSE,"Plan2"}</definedName>
    <definedName name="KSRKOE" localSheetId="3" hidden="1">{#N/A,#N/A,FALSE,"Plan1";#N/A,#N/A,FALSE,"Plan2"}</definedName>
    <definedName name="KSRKOE" hidden="1">{#N/A,#N/A,FALSE,"Plan1";#N/A,#N/A,FALSE,"Plan2"}</definedName>
    <definedName name="KSWKE" localSheetId="3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localSheetId="3" hidden="1">{#N/A,#N/A,FALSE,"Plan1";#N/A,#N/A,FALSE,"Plan2"}</definedName>
    <definedName name="kysdusf" hidden="1">{#N/A,#N/A,FALSE,"Plan1";#N/A,#N/A,FALSE,"Plan2"}</definedName>
    <definedName name="kzslçdkçle" localSheetId="3" hidden="1">{#N/A,#N/A,FALSE,"Plan1";#N/A,#N/A,FALSE,"Plan2"}</definedName>
    <definedName name="kzslçdkçle" hidden="1">{#N/A,#N/A,FALSE,"Plan1";#N/A,#N/A,FALSE,"Plan2"}</definedName>
    <definedName name="L_">#REF!</definedName>
    <definedName name="LAEKWRK" localSheetId="3" hidden="1">{#N/A,#N/A,FALSE,"Plan1";#N/A,#N/A,FALSE,"Plan2"}</definedName>
    <definedName name="LAEKWRK" hidden="1">{#N/A,#N/A,FALSE,"Plan1";#N/A,#N/A,FALSE,"Plan2"}</definedName>
    <definedName name="laeqwep" hidden="1">#REF!</definedName>
    <definedName name="LAKDEWRF" localSheetId="3" hidden="1">{#N/A,#N/A,FALSE,"Plan1";#N/A,#N/A,FALSE,"Plan2"}</definedName>
    <definedName name="LAKDEWRF" hidden="1">{#N/A,#N/A,FALSE,"Plan1";#N/A,#N/A,FALSE,"Plan2"}</definedName>
    <definedName name="Lancamentos">#REF!</definedName>
    <definedName name="LARGURA">#REF!</definedName>
    <definedName name="LASÇDSRLF" localSheetId="3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3" hidden="1">{#N/A,#N/A,FALSE,"Plan1";#N/A,#N/A,FALSE,"Plan2"}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3" hidden="1">{#N/A,#N/A,FALSE,"Plan1";#N/A,#N/A,FALSE,"Plan2"}</definedName>
    <definedName name="lçadple4r" hidden="1">{#N/A,#N/A,FALSE,"Plan1";#N/A,#N/A,FALSE,"Plan2"}</definedName>
    <definedName name="lçasser" localSheetId="3" hidden="1">{#N/A,#N/A,FALSE,"Plan1";#N/A,#N/A,FALSE,"Plan2"}</definedName>
    <definedName name="lçasser" hidden="1">{#N/A,#N/A,FALSE,"Plan1";#N/A,#N/A,FALSE,"Plan2"}</definedName>
    <definedName name="lcdgjtklfrn" localSheetId="3" hidden="1">{#N/A,#N/A,FALSE,"Plan1";#N/A,#N/A,FALSE,"Plan2"}</definedName>
    <definedName name="lcdgjtklfrn" hidden="1">{#N/A,#N/A,FALSE,"Plan1";#N/A,#N/A,FALSE,"Plan2"}</definedName>
    <definedName name="lçfklsdkçaer" localSheetId="3" hidden="1">{#N/A,#N/A,FALSE,"Plan1";#N/A,#N/A,FALSE,"Plan2"}</definedName>
    <definedName name="lçfklsdkçaer" hidden="1">{#N/A,#N/A,FALSE,"Plan1";#N/A,#N/A,FALSE,"Plan2"}</definedName>
    <definedName name="lçjkgf" localSheetId="3" hidden="1">{#N/A,#N/A,FALSE,"Plan1";#N/A,#N/A,FALSE,"Plan2"}</definedName>
    <definedName name="lçjkgf" hidden="1">{#N/A,#N/A,FALSE,"Plan1";#N/A,#N/A,FALSE,"Plan2"}</definedName>
    <definedName name="LÇJSLDFJ" localSheetId="3" hidden="1">{#N/A,#N/A,FALSE,"Plan1";#N/A,#N/A,FALSE,"Plan2"}</definedName>
    <definedName name="LÇJSLDFJ" hidden="1">{#N/A,#N/A,FALSE,"Plan1";#N/A,#N/A,FALSE,"Plan2"}</definedName>
    <definedName name="LÇKÇSDRLK" localSheetId="3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3" hidden="1">{#N/A,#N/A,FALSE,"Plan1";#N/A,#N/A,FALSE,"Plan2"}</definedName>
    <definedName name="lçlfklçdglfdgt" hidden="1">{#N/A,#N/A,FALSE,"Plan1";#N/A,#N/A,FALSE,"Plan2"}</definedName>
    <definedName name="lçslrr4r" localSheetId="3" hidden="1">{#N/A,#N/A,FALSE,"Plan1";#N/A,#N/A,FALSE,"Plan2"}</definedName>
    <definedName name="lçslrr4r" hidden="1">{#N/A,#N/A,FALSE,"Plan1";#N/A,#N/A,FALSE,"Plan2"}</definedName>
    <definedName name="ldfjgry" localSheetId="3" hidden="1">{#N/A,#N/A,FALSE,"Plan1";#N/A,#N/A,FALSE,"Plan2"}</definedName>
    <definedName name="ldfjgry" hidden="1">{#N/A,#N/A,FALSE,"Plan1";#N/A,#N/A,FALSE,"Plan2"}</definedName>
    <definedName name="ldfjgtilrf" localSheetId="3" hidden="1">{#N/A,#N/A,FALSE,"Plan1";#N/A,#N/A,FALSE,"Plan2"}</definedName>
    <definedName name="ldfjgtilrf" hidden="1">{#N/A,#N/A,FALSE,"Plan1";#N/A,#N/A,FALSE,"Plan2"}</definedName>
    <definedName name="ldk" localSheetId="3" hidden="1">{#N/A,#N/A,FALSE,"Plan1";#N/A,#N/A,FALSE,"Plan2"}</definedName>
    <definedName name="ldk" hidden="1">{#N/A,#N/A,FALSE,"Plan1";#N/A,#N/A,FALSE,"Plan2"}</definedName>
    <definedName name="ldkgkdfjgkh" localSheetId="3" hidden="1">{#N/A,#N/A,FALSE,"Plan1";#N/A,#N/A,FALSE,"Plan2"}</definedName>
    <definedName name="ldkgkdfjgkh" hidden="1">{#N/A,#N/A,FALSE,"Plan1";#N/A,#N/A,FALSE,"Plan2"}</definedName>
    <definedName name="LDTJGR" localSheetId="3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localSheetId="3" hidden="1">{#N/A,#N/A,FALSE,"Plan1";#N/A,#N/A,FALSE,"Plan2"}</definedName>
    <definedName name="lfjdjrt" hidden="1">{#N/A,#N/A,FALSE,"Plan1";#N/A,#N/A,FALSE,"Plan2"}</definedName>
    <definedName name="LI">#REF!</definedName>
    <definedName name="LIDER_OPER">#REF!</definedName>
    <definedName name="lidfjgklruf" localSheetId="3" hidden="1">{#N/A,#N/A,FALSE,"Plan1";#N/A,#N/A,FALSE,"Plan2"}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 localSheetId="3">OFFSET(INDEX(#REF!,MATCH(#REF!,#REF!,0)),1,0,COUNTA(#REF!)-1)</definedName>
    <definedName name="lista_empresa">OFFSET(INDEX(#REF!,MATCH(#REF!,#REF!,0)),1,0,COUNTA(#REF!)-1)</definedName>
    <definedName name="LISTA_FORNECEDORES">#REF!</definedName>
    <definedName name="LISTSEL">#REF!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localSheetId="3" hidden="1">{#N/A,#N/A,FALSE,"Plan1";#N/A,#N/A,FALSE,"Plan2"}</definedName>
    <definedName name="ljdfkgyt" hidden="1">{#N/A,#N/A,FALSE,"Plan1";#N/A,#N/A,FALSE,"Plan2"}</definedName>
    <definedName name="LJDFLJRL" localSheetId="3" hidden="1">{#N/A,#N/A,FALSE,"Plan1";#N/A,#N/A,FALSE,"Plan2"}</definedName>
    <definedName name="LJDFLJRL" hidden="1">{#N/A,#N/A,FALSE,"Plan1";#N/A,#N/A,FALSE,"Plan2"}</definedName>
    <definedName name="ljsdfrd" localSheetId="3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localSheetId="3" hidden="1">{#N/A,#N/A,TRUE,"Quinzena 01 à 15-04-98 "}</definedName>
    <definedName name="LK" hidden="1">{#N/A,#N/A,TRUE,"Quinzena 01 à 15-04-98 "}</definedName>
    <definedName name="lkasdkeo" localSheetId="3" hidden="1">{#N/A,#N/A,FALSE,"Plan1";#N/A,#N/A,FALSE,"Plan2"}</definedName>
    <definedName name="lkasdkeo" hidden="1">{#N/A,#N/A,FALSE,"Plan1";#N/A,#N/A,FALSE,"Plan2"}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3" hidden="1">{#N/A,#N/A,FALSE,"Plan1";#N/A,#N/A,FALSE,"Plan2"}</definedName>
    <definedName name="lkdzxfsdrf" hidden="1">{#N/A,#N/A,FALSE,"Plan1";#N/A,#N/A,FALSE,"Plan2"}</definedName>
    <definedName name="lkfdkçtktr" localSheetId="3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3" hidden="1">{#N/A,#N/A,FALSE,"Plan1";#N/A,#N/A,FALSE,"Plan2"}</definedName>
    <definedName name="LKSSDKÇ\E" hidden="1">{#N/A,#N/A,FALSE,"Plan1";#N/A,#N/A,FALSE,"Plan2"}</definedName>
    <definedName name="lkt" localSheetId="3" hidden="1">{#N/A,#N/A,FALSE,"Plan1";#N/A,#N/A,FALSE,"Plan2"}</definedName>
    <definedName name="lkt" hidden="1">{#N/A,#N/A,FALSE,"Plan1";#N/A,#N/A,FALSE,"Plan2"}</definedName>
    <definedName name="lktlyklt" localSheetId="3" hidden="1">{#N/A,#N/A,FALSE,"Plan1";#N/A,#N/A,FALSE,"Plan2"}</definedName>
    <definedName name="lktlyklt" hidden="1">{#N/A,#N/A,FALSE,"Plan1";#N/A,#N/A,FALSE,"Plan2"}</definedName>
    <definedName name="LKTTYT" localSheetId="3" hidden="1">{#N/A,#N/A,FALSE,"Plan1";#N/A,#N/A,FALSE,"Plan2"}</definedName>
    <definedName name="LKTTYT" hidden="1">{#N/A,#N/A,FALSE,"Plan1";#N/A,#N/A,FALSE,"Plan2"}</definedName>
    <definedName name="llgg" localSheetId="3" hidden="1">{#N/A,#N/A,FALSE,"Plan1";#N/A,#N/A,FALSE,"Plan2"}</definedName>
    <definedName name="llgg" hidden="1">{#N/A,#N/A,FALSE,"Plan1";#N/A,#N/A,FALSE,"Plan2"}</definedName>
    <definedName name="LLL" localSheetId="3" hidden="1">{#N/A,#N/A,FALSE,"Plan1";#N/A,#N/A,FALSE,"Plan2"}</definedName>
    <definedName name="LLL" hidden="1">{#N/A,#N/A,FALSE,"Plan1";#N/A,#N/A,FALSE,"Plan2"}</definedName>
    <definedName name="LM_AR" localSheetId="3" hidden="1">{#N/A,#N/A,FALSE,"F-01"}</definedName>
    <definedName name="LM_AR" hidden="1">{#N/A,#N/A,FALSE,"F-01"}</definedName>
    <definedName name="LM_AT" localSheetId="3" hidden="1">{#N/A,#N/A,FALSE,"F-01"}</definedName>
    <definedName name="LM_AT" hidden="1">{#N/A,#N/A,FALSE,"F-01"}</definedName>
    <definedName name="LM_INC" localSheetId="3" hidden="1">{#N/A,#N/A,FALSE,"F-01"}</definedName>
    <definedName name="LM_INC" hidden="1">{#N/A,#N/A,FALSE,"F-01"}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9">#REF!</definedName>
    <definedName name="LS" localSheetId="15">'[1]M.O.'!#REF!</definedName>
    <definedName name="LS" localSheetId="17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LSDFKLDKFTR" localSheetId="3" hidden="1">{#N/A,#N/A,FALSE,"Plan1";#N/A,#N/A,FALSE,"Plan2"}</definedName>
    <definedName name="LSDFKLDKFTR" hidden="1">{#N/A,#N/A,FALSE,"Plan1";#N/A,#N/A,FALSE,"Plan2"}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3" hidden="1">{#N/A,#N/A,FALSE,"Plan1";#N/A,#N/A,FALSE,"Plan2"}</definedName>
    <definedName name="lsdkljfkg" hidden="1">{#N/A,#N/A,FALSE,"Plan1";#N/A,#N/A,FALSE,"Plan2"}</definedName>
    <definedName name="lsdsder" localSheetId="3" hidden="1">{#N/A,#N/A,FALSE,"Plan1";#N/A,#N/A,FALSE,"Plan2"}</definedName>
    <definedName name="lsdsder" hidden="1">{#N/A,#N/A,FALSE,"Plan1";#N/A,#N/A,FALSE,"Plan2"}</definedName>
    <definedName name="ltj6ljyhdjhngças" localSheetId="3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localSheetId="3" hidden="1">{#N/A,#N/A,FALSE,"Plan1";#N/A,#N/A,FALSE,"Plan2"}</definedName>
    <definedName name="MAISAP" hidden="1">{#N/A,#N/A,FALSE,"Plan1";#N/A,#N/A,FALSE,"Plan2"}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3" hidden="1">{#N/A,#N/A,FALSE,"Plan1";#N/A,#N/A,FALSE,"Plan2"}</definedName>
    <definedName name="MAURILIO" hidden="1">{#N/A,#N/A,FALSE,"Plan1";#N/A,#N/A,FALSE,"Plan2"}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localSheetId="3" hidden="1">{#N/A,#N/A,FALSE,"Plan1";#N/A,#N/A,FALSE,"Plan2"}</definedName>
    <definedName name="mdfgtr" hidden="1">{#N/A,#N/A,FALSE,"Plan1";#N/A,#N/A,FALSE,"Plan2"}</definedName>
    <definedName name="MDSÇLFJKJSD" localSheetId="3" hidden="1">{#N/A,#N/A,FALSE,"Plan1";#N/A,#N/A,FALSE,"Plan2"}</definedName>
    <definedName name="MDSÇLFJKJSD" hidden="1">{#N/A,#N/A,FALSE,"Plan1";#N/A,#N/A,FALSE,"Plan2"}</definedName>
    <definedName name="ME" localSheetId="3" hidden="1">{"HW",#N/A,FALSE,"1998"}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5">#REF!</definedName>
    <definedName name="MENU" localSheetId="17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localSheetId="3" hidden="1">{#N/A,#N/A,FALSE,"Plan1";#N/A,#N/A,FALSE,"Plan2"}</definedName>
    <definedName name="MLMÇLKJKI" hidden="1">{#N/A,#N/A,FALSE,"Plan1";#N/A,#N/A,FALSE,"Plan2"}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3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3" hidden="1">{#N/A,#N/A,FALSE,"Plan1";#N/A,#N/A,FALSE,"Plan2"}</definedName>
    <definedName name="MNBXFKGS" hidden="1">{#N/A,#N/A,FALSE,"Plan1";#N/A,#N/A,FALSE,"Plan2"}</definedName>
    <definedName name="mncvbgcvmc" localSheetId="3" hidden="1">{#N/A,#N/A,FALSE,"Plan1";#N/A,#N/A,FALSE,"Plan2"}</definedName>
    <definedName name="mncvbgcvmc" hidden="1">{#N/A,#N/A,FALSE,"Plan1";#N/A,#N/A,FALSE,"Plan2"}</definedName>
    <definedName name="MNDKZSFNCEA" localSheetId="3" hidden="1">{#N/A,#N/A,FALSE,"Plan1";#N/A,#N/A,FALSE,"Plan2"}</definedName>
    <definedName name="MNDKZSFNCEA" hidden="1">{#N/A,#N/A,FALSE,"Plan1";#N/A,#N/A,FALSE,"Plan2"}</definedName>
    <definedName name="mnhdshfgfhd" localSheetId="3" hidden="1">{#N/A,#N/A,FALSE,"Plan1";#N/A,#N/A,FALSE,"Plan2"}</definedName>
    <definedName name="mnhdshfgfhd" hidden="1">{#N/A,#N/A,FALSE,"Plan1";#N/A,#N/A,FALSE,"Plan2"}</definedName>
    <definedName name="mo" localSheetId="9">#REF!</definedName>
    <definedName name="mo">#REF!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3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localSheetId="3" hidden="1">{#N/A,#N/A,FALSE,"CCTV"}</definedName>
    <definedName name="MP" hidden="1">{#N/A,#N/A,FALSE,"CCTV"}</definedName>
    <definedName name="MSDFJKDT" hidden="1">25</definedName>
    <definedName name="MSDRFSWER" localSheetId="3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localSheetId="3" hidden="1">{#N/A,#N/A,FALSE,"Plan1";#N/A,#N/A,FALSE,"Plan2"}</definedName>
    <definedName name="mzshdjshjs" hidden="1">{#N/A,#N/A,FALSE,"Plan1";#N/A,#N/A,FALSE,"Plan2"}</definedName>
    <definedName name="na" localSheetId="3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3" hidden="1">{#N/A,#N/A,FALSE,"Plan1";#N/A,#N/A,FALSE,"Plan2"}</definedName>
    <definedName name="ncdgrdhrtg" hidden="1">{#N/A,#N/A,FALSE,"Plan1";#N/A,#N/A,FALSE,"Plan2"}</definedName>
    <definedName name="nchngdfhgdh" localSheetId="3" hidden="1">{#N/A,#N/A,FALSE,"Plan1";#N/A,#N/A,FALSE,"Plan2"}</definedName>
    <definedName name="nchngdfhgdh" hidden="1">{#N/A,#N/A,FALSE,"Plan1";#N/A,#N/A,FALSE,"Plan2"}</definedName>
    <definedName name="NCJFKNGJHF" localSheetId="3" hidden="1">{#N/A,#N/A,FALSE,"Plan1";#N/A,#N/A,FALSE,"Plan2"}</definedName>
    <definedName name="NCJFKNGJHF" hidden="1">{#N/A,#N/A,FALSE,"Plan1";#N/A,#N/A,FALSE,"Plan2"}</definedName>
    <definedName name="NDATA">#REF!</definedName>
    <definedName name="ndcxhgdhf" localSheetId="3" hidden="1">{#N/A,#N/A,FALSE,"Plan1";#N/A,#N/A,FALSE,"Plan2"}</definedName>
    <definedName name="ndcxhgdhf" hidden="1">{#N/A,#N/A,FALSE,"Plan1";#N/A,#N/A,FALSE,"Plan2"}</definedName>
    <definedName name="ndfjnjkrhdgt" localSheetId="3" hidden="1">{#N/A,#N/A,FALSE,"Plan1";#N/A,#N/A,FALSE,"Plan2"}</definedName>
    <definedName name="ndfjnjkrhdgt" hidden="1">{#N/A,#N/A,FALSE,"Plan1";#N/A,#N/A,FALSE,"Plan2"}</definedName>
    <definedName name="ndfkghkjthfyst" localSheetId="3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localSheetId="3" hidden="1">{#N/A,#N/A,FALSE,"Plan1";#N/A,#N/A,FALSE,"Plan2"}</definedName>
    <definedName name="NDJGKFKGHUFG" hidden="1">{#N/A,#N/A,FALSE,"Plan1";#N/A,#N/A,FALSE,"Plan2"}</definedName>
    <definedName name="ndrjkt" localSheetId="3" hidden="1">{#N/A,#N/A,FALSE,"Plan1";#N/A,#N/A,FALSE,"Plan2"}</definedName>
    <definedName name="ndrjkt" hidden="1">{#N/A,#N/A,FALSE,"Plan1";#N/A,#N/A,FALSE,"Plan2"}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3" hidden="1">{#N/A,#N/A,FALSE,"CCTV"}</definedName>
    <definedName name="NEWNAME" hidden="1">{#N/A,#N/A,FALSE,"CCTV"}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3" hidden="1">{#N/A,#N/A,FALSE,"Plan1";#N/A,#N/A,FALSE,"Plan2"}</definedName>
    <definedName name="nfkhdjkthde" hidden="1">{#N/A,#N/A,FALSE,"Plan1";#N/A,#N/A,FALSE,"Plan2"}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3" hidden="1">{#N/A,#N/A,FALSE,"Plan1";#N/A,#N/A,FALSE,"Plan2"}</definedName>
    <definedName name="NHJHFDSHF" hidden="1">{#N/A,#N/A,FALSE,"Plan1";#N/A,#N/A,FALSE,"Plan2"}</definedName>
    <definedName name="NJSDFHERTG" localSheetId="3" hidden="1">{#N/A,#N/A,FALSE,"Plan1";#N/A,#N/A,FALSE,"Plan2"}</definedName>
    <definedName name="NJSDFHERTG" hidden="1">{#N/A,#N/A,FALSE,"Plan1";#N/A,#N/A,FALSE,"Plan2"}</definedName>
    <definedName name="nkfnsskdn" localSheetId="3" hidden="1">{#N/A,#N/A,FALSE,"Plan1";#N/A,#N/A,FALSE,"Plan2"}</definedName>
    <definedName name="nkfnsskdn" hidden="1">{#N/A,#N/A,FALSE,"Plan1";#N/A,#N/A,FALSE,"Plan2"}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localSheetId="3" hidden="1">{#N/A,#N/A,FALSE,"Plan1";#N/A,#N/A,FALSE,"Plan2"}</definedName>
    <definedName name="nlaksjdwe" hidden="1">{#N/A,#N/A,FALSE,"Plan1";#N/A,#N/A,FALSE,"Plan2"}</definedName>
    <definedName name="nljsdfljfdsfr" localSheetId="3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localSheetId="3" hidden="1">{#N/A,#N/A,FALSE,"Plan1";#N/A,#N/A,FALSE,"Plan2"}</definedName>
    <definedName name="nmjdfhxj" hidden="1">{#N/A,#N/A,FALSE,"Plan1";#N/A,#N/A,FALSE,"Plan2"}</definedName>
    <definedName name="nnmn" localSheetId="3" hidden="1">{#N/A,#N/A,FALSE,"Plan1";#N/A,#N/A,FALSE,"Plan2"}</definedName>
    <definedName name="nnmn" hidden="1">{#N/A,#N/A,FALSE,"Plan1";#N/A,#N/A,FALSE,"Plan2"}</definedName>
    <definedName name="nnn" localSheetId="3" hidden="1">{#N/A,#N/A,FALSE,"Plan1";#N/A,#N/A,FALSE,"Plan2"}</definedName>
    <definedName name="nnn" hidden="1">{#N/A,#N/A,FALSE,"Plan1";#N/A,#N/A,FALSE,"Plan2"}</definedName>
    <definedName name="nnnnnnnnnnn" localSheetId="3" hidden="1">{"HW",#N/A,FALSE,"1998"}</definedName>
    <definedName name="nnnnnnnnnnn" hidden="1">{"HW",#N/A,FALSE,"1998"}</definedName>
    <definedName name="NNNNNNNNNNNNNNN" localSheetId="3" hidden="1">{#N/A,#N/A,FALSE,"Plan1";#N/A,#N/A,FALSE,"Plan2"}</definedName>
    <definedName name="NNNNNNNNNNNNNNN" hidden="1">{#N/A,#N/A,FALSE,"Plan1";#N/A,#N/A,FALSE,"Plan2"}</definedName>
    <definedName name="nnnnnnnnnnnnnnnnnnnn" localSheetId="3" hidden="1">{#N/A,#N/A,FALSE,"Plan1";#N/A,#N/A,FALSE,"Plan2"}</definedName>
    <definedName name="nnnnnnnnnnnnnnnnnnnn" hidden="1">{#N/A,#N/A,FALSE,"Plan1";#N/A,#N/A,FALSE,"Plan2"}</definedName>
    <definedName name="NNXFT" localSheetId="3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3" hidden="1">{#N/A,#N/A,FALSE,"Plan1";#N/A,#N/A,FALSE,"Plan2"}</definedName>
    <definedName name="nsdkfndgfdnatf" hidden="1">{#N/A,#N/A,FALSE,"Plan1";#N/A,#N/A,FALSE,"Plan2"}</definedName>
    <definedName name="nsfljdiljrf" localSheetId="3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localSheetId="3" hidden="1">{#N/A,#N/A,FALSE,"Plan1";#N/A,#N/A,FALSE,"Plan2"}</definedName>
    <definedName name="nzxcnnjkd" hidden="1">{#N/A,#N/A,FALSE,"Plan1";#N/A,#N/A,FALSE,"Plan2"}</definedName>
    <definedName name="OAE" localSheetId="9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localSheetId="3" hidden="1">{#N/A,#N/A,FALSE,"Plan1";#N/A,#N/A,FALSE,"Plan2"}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localSheetId="3" hidden="1">{#N/A,#N/A,FALSE,"Plan1";#N/A,#N/A,FALSE,"Plan2"}</definedName>
    <definedName name="oiditrot" hidden="1">{#N/A,#N/A,FALSE,"Plan1";#N/A,#N/A,FALSE,"Plan2"}</definedName>
    <definedName name="oio" localSheetId="3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localSheetId="3" hidden="1">{#N/A,#N/A,FALSE,"Plan1";#N/A,#N/A,FALSE,"Plan2"}</definedName>
    <definedName name="OJÇLJ" hidden="1">{#N/A,#N/A,FALSE,"Plan1";#N/A,#N/A,FALSE,"Plan2"}</definedName>
    <definedName name="ojkdfit" localSheetId="3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localSheetId="3" hidden="1">{#N/A,#N/A,FALSE,"Plan1";#N/A,#N/A,FALSE,"Plan2"}</definedName>
    <definedName name="ooo" hidden="1">{#N/A,#N/A,FALSE,"Plan1";#N/A,#N/A,FALSE,"Plan2"}</definedName>
    <definedName name="OPASEDWED" localSheetId="3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localSheetId="3" hidden="1">{#N/A,#N/A,FALSE,"Plan1";#N/A,#N/A,FALSE,"Plan2"}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localSheetId="3" hidden="1">{#N/A,#N/A,FALSE,"TABLE"}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localSheetId="3" hidden="1">{#N/A,#N/A,FALSE,"Plan1";#N/A,#N/A,FALSE,"Plan2"}</definedName>
    <definedName name="otodgkrjglsrd" hidden="1">{#N/A,#N/A,FALSE,"Plan1";#N/A,#N/A,FALSE,"Plan2"}</definedName>
    <definedName name="OUERWRSR" localSheetId="3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3">ROW()-Linha_Cabeçalho</definedName>
    <definedName name="Pagamento_Num">ROW()-Linha_Cabeçalho</definedName>
    <definedName name="Pago_Até_2015_Controladoria" localSheetId="3">#REF!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9">#REF!</definedName>
    <definedName name="ParamValues1">[3]ParamValues!$A$1:$A$39</definedName>
    <definedName name="Parao_E">#REF!</definedName>
    <definedName name="Parede1">#REF!</definedName>
    <definedName name="Parede2">#REF!</definedName>
    <definedName name="PAREDES">#REF!</definedName>
    <definedName name="PAV" localSheetId="15">#REF!</definedName>
    <definedName name="PAV" localSheetId="17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localSheetId="3" hidden="1">{#N/A,#N/A,TRUE,"Quinzena 01 à 15-04-98 "}</definedName>
    <definedName name="PLACAS" hidden="1">{#N/A,#N/A,TRUE,"Quinzena 01 à 15-04-98 "}</definedName>
    <definedName name="Placas_Areas" localSheetId="3" hidden="1">{#N/A,#N/A,TRUE,"Quinzena 01 à 15-04-98 "}</definedName>
    <definedName name="Placas_Areas" hidden="1">{#N/A,#N/A,TRUE,"Quinzena 01 à 15-04-98 "}</definedName>
    <definedName name="PLAN">#REF!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localSheetId="3" hidden="1">{#N/A,#N/A,FALSE,"Plan1";#N/A,#N/A,FALSE,"Plan2"}</definedName>
    <definedName name="plasçdeaw" hidden="1">{#N/A,#N/A,FALSE,"Plan1";#N/A,#N/A,FALSE,"Plan2"}</definedName>
    <definedName name="plaslrswe" localSheetId="3" hidden="1">{#N/A,#N/A,FALSE,"Plan1";#N/A,#N/A,FALSE,"Plan2"}</definedName>
    <definedName name="plaslrswe" hidden="1">{#N/A,#N/A,FALSE,"Plan1";#N/A,#N/A,FALSE,"Plan2"}</definedName>
    <definedName name="pls" hidden="1">#REF!</definedName>
    <definedName name="plsearpef" localSheetId="3" hidden="1">{#N/A,#N/A,FALSE,"Plan1";#N/A,#N/A,FALSE,"Plan2"}</definedName>
    <definedName name="plsearpef" hidden="1">{#N/A,#N/A,FALSE,"Plan1";#N/A,#N/A,FALSE,"Plan2"}</definedName>
    <definedName name="plss" localSheetId="3" hidden="1">{#N/A,#N/A,FALSE,"Plan1";#N/A,#N/A,FALSE,"Plan2"}</definedName>
    <definedName name="plss" hidden="1">{#N/A,#N/A,FALSE,"Plan1";#N/A,#N/A,FALSE,"Plan2"}</definedName>
    <definedName name="PMUR">#REF!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3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_MI" localSheetId="9">#REF!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localSheetId="3" hidden="1">{#N/A,#N/A,FALSE,"Plan1";#N/A,#N/A,FALSE,"Plan2"}</definedName>
    <definedName name="ptirigyiotut" hidden="1">{#N/A,#N/A,FALSE,"Plan1";#N/A,#N/A,FALSE,"Plan2"}</definedName>
    <definedName name="PWER3" localSheetId="3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localSheetId="3" hidden="1">{#N/A,#N/A,FALSE,"명세표"}</definedName>
    <definedName name="qkqh1" hidden="1">{#N/A,#N/A,FALSE,"명세표"}</definedName>
    <definedName name="QOAS_POAS">#REF!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3">#REF!:#REF!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localSheetId="3" hidden="1">{#N/A,#N/A,FALSE,"Plan1";#N/A,#N/A,FALSE,"Plan2"}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localSheetId="3" hidden="1">{#N/A,#N/A,FALSE,"Plan1";#N/A,#N/A,FALSE,"Plan2"}</definedName>
    <definedName name="qwdqw" hidden="1">{#N/A,#N/A,FALSE,"Plan1";#N/A,#N/A,FALSE,"Plan2"}</definedName>
    <definedName name="qweqwe" localSheetId="3" hidden="1">{#N/A,#N/A,FALSE,"Plan1";#N/A,#N/A,FALSE,"Plan2"}</definedName>
    <definedName name="qweqwe" hidden="1">{#N/A,#N/A,FALSE,"Plan1";#N/A,#N/A,FALSE,"Plan2"}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3" hidden="1">{"HW",#N/A,FALSE,"1998"}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9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localSheetId="3" hidden="1">{#N/A,#N/A,TRUE,"Quinzena 01 à 15-04-98 "}</definedName>
    <definedName name="RESUMO2" hidden="1">{#N/A,#N/A,TRUE,"Quinzena 01 à 15-04-98 "}</definedName>
    <definedName name="REV" localSheetId="9">#REF!</definedName>
    <definedName name="REV">#REF!</definedName>
    <definedName name="RF" localSheetId="3" hidden="1">{#N/A,#N/A,FALSE,"CCTV"}</definedName>
    <definedName name="RF" hidden="1">{#N/A,#N/A,FALSE,"CCTV"}</definedName>
    <definedName name="rgedrfrgfdg" localSheetId="3" hidden="1">{#N/A,#N/A,FALSE,"Plan1";#N/A,#N/A,FALSE,"Plan2"}</definedName>
    <definedName name="rgedrfrgfdg" hidden="1">{#N/A,#N/A,FALSE,"Plan1";#N/A,#N/A,FALSE,"Plan2"}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localSheetId="3" hidden="1">{"'장비'!$A$3:$M$12"}</definedName>
    <definedName name="rrrrr" hidden="1">{"'장비'!$A$3:$M$12"}</definedName>
    <definedName name="rrrrrrrr" localSheetId="3" hidden="1">{"'장비'!$A$3:$M$12"}</definedName>
    <definedName name="rrrrrrrr" hidden="1">{"'장비'!$A$3:$M$12"}</definedName>
    <definedName name="rrrrrrrrrrr" localSheetId="3" hidden="1">{#N/A,#N/A,TRUE,"Quinzena 01 à 15-04-98 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localSheetId="3" hidden="1">{"'장비'!$A$3:$M$12"}</definedName>
    <definedName name="RTYE" hidden="1">{"'장비'!$A$3:$M$12"}</definedName>
    <definedName name="s">#REF!</definedName>
    <definedName name="sa" localSheetId="9">#REF!</definedName>
    <definedName name="sa">#REF!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3" hidden="1">{#N/A,#N/A,FALSE,"Plan1";#N/A,#N/A,FALSE,"Plan2"}</definedName>
    <definedName name="sadasd" hidden="1">{#N/A,#N/A,FALSE,"Plan1";#N/A,#N/A,FALSE,"Plan2"}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3" hidden="1">{#N/A,#N/A,FALSE,"Plan1";#N/A,#N/A,FALSE,"Plan2"}</definedName>
    <definedName name="sadkrjkedft" hidden="1">{#N/A,#N/A,FALSE,"Plan1";#N/A,#N/A,FALSE,"Plan2"}</definedName>
    <definedName name="SADSRTR" localSheetId="3" hidden="1">{#N/A,#N/A,FALSE,"Plan1";#N/A,#N/A,FALSE,"Plan2"}</definedName>
    <definedName name="SADSRTR" hidden="1">{#N/A,#N/A,FALSE,"Plan1";#N/A,#N/A,FALSE,"Plan2"}</definedName>
    <definedName name="sadwde" localSheetId="3" hidden="1">{#N/A,#N/A,FALSE,"Plan1";#N/A,#N/A,FALSE,"Plan2"}</definedName>
    <definedName name="sadwde" hidden="1">{#N/A,#N/A,FALSE,"Plan1";#N/A,#N/A,FALSE,"Plan2"}</definedName>
    <definedName name="Salas">#REF!</definedName>
    <definedName name="sanjay" localSheetId="3" hidden="1">{#N/A,#N/A,FALSE,"TABLE"}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3" hidden="1">{#N/A,#N/A,FALSE,"Plan1";#N/A,#N/A,FALSE,"Plan2"}</definedName>
    <definedName name="SAS" hidden="1">{#N/A,#N/A,FALSE,"Plan1";#N/A,#N/A,FALSE,"Plan2"}</definedName>
    <definedName name="sasads" localSheetId="3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3" hidden="1">{#N/A,#N/A,FALSE,"Plan1";#N/A,#N/A,FALSE,"Plan2"}</definedName>
    <definedName name="SDAOTGFR" hidden="1">{#N/A,#N/A,FALSE,"Plan1";#N/A,#N/A,FALSE,"Plan2"}</definedName>
    <definedName name="sdckd" localSheetId="3" hidden="1">{#N/A,#N/A,FALSE,"Plan1";#N/A,#N/A,FALSE,"Plan2"}</definedName>
    <definedName name="sdckd" hidden="1">{#N/A,#N/A,FALSE,"Plan1";#N/A,#N/A,FALSE,"Plan2"}</definedName>
    <definedName name="SDDFKSEDE" localSheetId="3" hidden="1">{#N/A,#N/A,FALSE,"Plan1";#N/A,#N/A,FALSE,"Plan2"}</definedName>
    <definedName name="SDDFKSEDE" hidden="1">{#N/A,#N/A,FALSE,"Plan1";#N/A,#N/A,FALSE,"Plan2"}</definedName>
    <definedName name="sddkslker" localSheetId="3" hidden="1">{#N/A,#N/A,FALSE,"Plan1";#N/A,#N/A,FALSE,"Plan2"}</definedName>
    <definedName name="sddkslker" hidden="1">{#N/A,#N/A,FALSE,"Plan1";#N/A,#N/A,FALSE,"Plan2"}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3" hidden="1">{#N/A,#N/A,FALSE,"Plan1";#N/A,#N/A,FALSE,"Plan2"}</definedName>
    <definedName name="sdfdds" hidden="1">{#N/A,#N/A,FALSE,"Plan1";#N/A,#N/A,FALSE,"Plan2"}</definedName>
    <definedName name="sdfdfc" localSheetId="3" hidden="1">{#N/A,#N/A,FALSE,"Plan1";#N/A,#N/A,FALSE,"Plan2"}</definedName>
    <definedName name="sdfdfc" hidden="1">{#N/A,#N/A,FALSE,"Plan1";#N/A,#N/A,FALSE,"Plan2"}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3" hidden="1">{#N/A,#N/A,FALSE,"Plan1";#N/A,#N/A,FALSE,"Plan2"}</definedName>
    <definedName name="sdfdgft" hidden="1">{#N/A,#N/A,FALSE,"Plan1";#N/A,#N/A,FALSE,"Plan2"}</definedName>
    <definedName name="sdfdsf" localSheetId="3" hidden="1">{#N/A,#N/A,FALSE,"Plan1";#N/A,#N/A,FALSE,"Plan2"}</definedName>
    <definedName name="sdfdsf" hidden="1">{#N/A,#N/A,FALSE,"Plan1";#N/A,#N/A,FALSE,"Plan2"}</definedName>
    <definedName name="sdfdsf\da" localSheetId="3" hidden="1">{#N/A,#N/A,FALSE,"Plan1";#N/A,#N/A,FALSE,"Plan2"}</definedName>
    <definedName name="sdfdsf\da" hidden="1">{#N/A,#N/A,FALSE,"Plan1";#N/A,#N/A,FALSE,"Plan2"}</definedName>
    <definedName name="SDFEDRT" localSheetId="3" hidden="1">{#N/A,#N/A,FALSE,"Plan1";#N/A,#N/A,FALSE,"Plan2"}</definedName>
    <definedName name="SDFEDRT" hidden="1">{#N/A,#N/A,FALSE,"Plan1";#N/A,#N/A,FALSE,"Plan2"}</definedName>
    <definedName name="sdfer" localSheetId="3" hidden="1">{#N/A,#N/A,FALSE,"Plan1";#N/A,#N/A,FALSE,"Plan2"}</definedName>
    <definedName name="sdfer" hidden="1">{#N/A,#N/A,FALSE,"Plan1";#N/A,#N/A,FALSE,"Plan2"}</definedName>
    <definedName name="sdferr" localSheetId="3" hidden="1">{#N/A,#N/A,FALSE,"Plan1";#N/A,#N/A,FALSE,"Plan2"}</definedName>
    <definedName name="sdferr" hidden="1">{#N/A,#N/A,FALSE,"Plan1";#N/A,#N/A,FALSE,"Plan2"}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3" hidden="1">{#N/A,#N/A,FALSE,"Plan1";#N/A,#N/A,FALSE,"Plan2"}</definedName>
    <definedName name="SDFGJFSRF" hidden="1">{#N/A,#N/A,FALSE,"Plan1";#N/A,#N/A,FALSE,"Plan2"}</definedName>
    <definedName name="sdfgtr" localSheetId="3" hidden="1">{#N/A,#N/A,FALSE,"Plan1";#N/A,#N/A,FALSE,"Plan2"}</definedName>
    <definedName name="sdfgtr" hidden="1">{#N/A,#N/A,FALSE,"Plan1";#N/A,#N/A,FALSE,"Plan2"}</definedName>
    <definedName name="sdfjdetrt" localSheetId="3" hidden="1">{#N/A,#N/A,FALSE,"Plan1";#N/A,#N/A,FALSE,"Plan2"}</definedName>
    <definedName name="sdfjdetrt" hidden="1">{#N/A,#N/A,FALSE,"Plan1";#N/A,#N/A,FALSE,"Plan2"}</definedName>
    <definedName name="SDFJDRTJEIDR" localSheetId="3" hidden="1">{#N/A,#N/A,FALSE,"Plan1";#N/A,#N/A,FALSE,"Plan2"}</definedName>
    <definedName name="SDFJDRTJEIDR" hidden="1">{#N/A,#N/A,FALSE,"Plan1";#N/A,#N/A,FALSE,"Plan2"}</definedName>
    <definedName name="sdfjergtij" localSheetId="3" hidden="1">{#N/A,#N/A,FALSE,"Plan1";#N/A,#N/A,FALSE,"Plan2"}</definedName>
    <definedName name="sdfjergtij" hidden="1">{#N/A,#N/A,FALSE,"Plan1";#N/A,#N/A,FALSE,"Plan2"}</definedName>
    <definedName name="SDFOPJKWE" localSheetId="3" hidden="1">{#N/A,#N/A,FALSE,"Plan1";#N/A,#N/A,FALSE,"Plan2"}</definedName>
    <definedName name="SDFOPJKWE" hidden="1">{#N/A,#N/A,FALSE,"Plan1";#N/A,#N/A,FALSE,"Plan2"}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3" hidden="1">{#N/A,#N/A,FALSE,"Plan1";#N/A,#N/A,FALSE,"Plan2"}</definedName>
    <definedName name="sdfrt" hidden="1">{#N/A,#N/A,FALSE,"Plan1";#N/A,#N/A,FALSE,"Plan2"}</definedName>
    <definedName name="SDFRTKK" localSheetId="3" hidden="1">{#N/A,#N/A,FALSE,"Plan1";#N/A,#N/A,FALSE,"Plan2"}</definedName>
    <definedName name="SDFRTKK" hidden="1">{#N/A,#N/A,FALSE,"Plan1";#N/A,#N/A,FALSE,"Plan2"}</definedName>
    <definedName name="SDFRTR" localSheetId="3" hidden="1">{#N/A,#N/A,FALSE,"Plan1";#N/A,#N/A,FALSE,"Plan2"}</definedName>
    <definedName name="SDFRTR" hidden="1">{#N/A,#N/A,FALSE,"Plan1";#N/A,#N/A,FALSE,"Plan2"}</definedName>
    <definedName name="sdfry6" localSheetId="3" hidden="1">{#N/A,#N/A,FALSE,"Plan1";#N/A,#N/A,FALSE,"Plan2"}</definedName>
    <definedName name="sdfry6" hidden="1">{#N/A,#N/A,FALSE,"Plan1";#N/A,#N/A,FALSE,"Plan2"}</definedName>
    <definedName name="sdfsaf" localSheetId="3" hidden="1">{#N/A,#N/A,FALSE,"Plan1";#N/A,#N/A,FALSE,"Plan2"}</definedName>
    <definedName name="sdfsaf" hidden="1">{#N/A,#N/A,FALSE,"Plan1";#N/A,#N/A,FALSE,"Plan2"}</definedName>
    <definedName name="sdfsd" localSheetId="3" hidden="1">{"'Estimativa de Lançamento-JAN'!$A$1:$AI$85"}</definedName>
    <definedName name="sdfsd" hidden="1">{"'Estimativa de Lançamento-JAN'!$A$1:$AI$85"}</definedName>
    <definedName name="sdfsdfg" localSheetId="3" hidden="1">{#N/A,#N/A,FALSE,"Plan1";#N/A,#N/A,FALSE,"Plan2"}</definedName>
    <definedName name="sdfsdfg" hidden="1">{#N/A,#N/A,FALSE,"Plan1";#N/A,#N/A,FALSE,"Plan2"}</definedName>
    <definedName name="SDFSDFK" localSheetId="3" hidden="1">{#N/A,#N/A,FALSE,"Plan1";#N/A,#N/A,FALSE,"Plan2"}</definedName>
    <definedName name="SDFSDFK" hidden="1">{#N/A,#N/A,FALSE,"Plan1";#N/A,#N/A,FALSE,"Plan2"}</definedName>
    <definedName name="sdfsdgftret" localSheetId="3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3" hidden="1">{#N/A,#N/A,FALSE,"Plan1";#N/A,#N/A,FALSE,"Plan2"}</definedName>
    <definedName name="sdfsf" hidden="1">{#N/A,#N/A,FALSE,"Plan1";#N/A,#N/A,FALSE,"Plan2"}</definedName>
    <definedName name="SDFSFRT" localSheetId="3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3" hidden="1">{#N/A,#N/A,FALSE,"Plan1";#N/A,#N/A,FALSE,"Plan2"}</definedName>
    <definedName name="sdfsr" hidden="1">{#N/A,#N/A,FALSE,"Plan1";#N/A,#N/A,FALSE,"Plan2"}</definedName>
    <definedName name="sdfty" localSheetId="3" hidden="1">{#N/A,#N/A,FALSE,"Plan1";#N/A,#N/A,FALSE,"Plan2"}</definedName>
    <definedName name="sdfty" hidden="1">{#N/A,#N/A,FALSE,"Plan1";#N/A,#N/A,FALSE,"Plan2"}</definedName>
    <definedName name="sdgdf" localSheetId="3" hidden="1">{#N/A,#N/A,FALSE,"Plan1";#N/A,#N/A,FALSE,"Plan2"}</definedName>
    <definedName name="sdgdf" hidden="1">{#N/A,#N/A,FALSE,"Plan1";#N/A,#N/A,FALSE,"Plan2"}</definedName>
    <definedName name="sdgfrt" localSheetId="3" hidden="1">{#N/A,#N/A,FALSE,"Plan1";#N/A,#N/A,FALSE,"Plan2"}</definedName>
    <definedName name="sdgfrt" hidden="1">{#N/A,#N/A,FALSE,"Plan1";#N/A,#N/A,FALSE,"Plan2"}</definedName>
    <definedName name="sdgft" localSheetId="3" hidden="1">{#N/A,#N/A,FALSE,"Plan1";#N/A,#N/A,FALSE,"Plan2"}</definedName>
    <definedName name="sdgft" hidden="1">{#N/A,#N/A,FALSE,"Plan1";#N/A,#N/A,FALSE,"Plan2"}</definedName>
    <definedName name="sdgt" localSheetId="3" hidden="1">{#N/A,#N/A,FALSE,"Plan1";#N/A,#N/A,FALSE,"Plan2"}</definedName>
    <definedName name="sdgt" hidden="1">{#N/A,#N/A,FALSE,"Plan1";#N/A,#N/A,FALSE,"Plan2"}</definedName>
    <definedName name="sdgtry" hidden="1">#REF!</definedName>
    <definedName name="sdhfghdsfg" localSheetId="3" hidden="1">{#N/A,#N/A,FALSE,"Plan1";#N/A,#N/A,FALSE,"Plan2"}</definedName>
    <definedName name="sdhfghdsfg" hidden="1">{#N/A,#N/A,FALSE,"Plan1";#N/A,#N/A,FALSE,"Plan2"}</definedName>
    <definedName name="SDHFJKHDFJRE" localSheetId="3" hidden="1">{#N/A,#N/A,FALSE,"Plan1";#N/A,#N/A,FALSE,"Plan2"}</definedName>
    <definedName name="SDHFJKHDFJRE" hidden="1">{#N/A,#N/A,FALSE,"Plan1";#N/A,#N/A,FALSE,"Plan2"}</definedName>
    <definedName name="SDHKFDRKGTR" localSheetId="3" hidden="1">{#N/A,#N/A,FALSE,"Plan1";#N/A,#N/A,FALSE,"Plan2"}</definedName>
    <definedName name="SDHKFDRKGTR" hidden="1">{#N/A,#N/A,FALSE,"Plan1";#N/A,#N/A,FALSE,"Plan2"}</definedName>
    <definedName name="sdjdswger" localSheetId="3" hidden="1">{#N/A,#N/A,FALSE,"Plan1";#N/A,#N/A,FALSE,"Plan2"}</definedName>
    <definedName name="sdjdswger" hidden="1">{#N/A,#N/A,FALSE,"Plan1";#N/A,#N/A,FALSE,"Plan2"}</definedName>
    <definedName name="sdjfdf" localSheetId="3" hidden="1">{#N/A,#N/A,FALSE,"Plan1";#N/A,#N/A,FALSE,"Plan2"}</definedName>
    <definedName name="sdjfdf" hidden="1">{#N/A,#N/A,FALSE,"Plan1";#N/A,#N/A,FALSE,"Plan2"}</definedName>
    <definedName name="sdjfhdjk" localSheetId="3" hidden="1">{#N/A,#N/A,FALSE,"Plan1";#N/A,#N/A,FALSE,"Plan2"}</definedName>
    <definedName name="sdjfhdjk" hidden="1">{#N/A,#N/A,FALSE,"Plan1";#N/A,#N/A,FALSE,"Plan2"}</definedName>
    <definedName name="SDJFJDER" localSheetId="3" hidden="1">{#N/A,#N/A,FALSE,"Plan1";#N/A,#N/A,FALSE,"Plan2"}</definedName>
    <definedName name="SDJFJDER" hidden="1">{#N/A,#N/A,FALSE,"Plan1";#N/A,#N/A,FALSE,"Plan2"}</definedName>
    <definedName name="sdjflsdjfl" localSheetId="3" hidden="1">{#N/A,#N/A,FALSE,"Plan1";#N/A,#N/A,FALSE,"Plan2"}</definedName>
    <definedName name="sdjflsdjfl" hidden="1">{#N/A,#N/A,FALSE,"Plan1";#N/A,#N/A,FALSE,"Plan2"}</definedName>
    <definedName name="SDJHF" localSheetId="3" hidden="1">{#N/A,#N/A,FALSE,"Plan1";#N/A,#N/A,FALSE,"Plan2"}</definedName>
    <definedName name="SDJHF" hidden="1">{#N/A,#N/A,FALSE,"Plan1";#N/A,#N/A,FALSE,"Plan2"}</definedName>
    <definedName name="sdjrderertrr" localSheetId="3" hidden="1">{#N/A,#N/A,FALSE,"Plan1";#N/A,#N/A,FALSE,"Plan2"}</definedName>
    <definedName name="sdjrderertrr" hidden="1">{#N/A,#N/A,FALSE,"Plan1";#N/A,#N/A,FALSE,"Plan2"}</definedName>
    <definedName name="sdkdjk" localSheetId="3" hidden="1">{#N/A,#N/A,FALSE,"Plan1";#N/A,#N/A,FALSE,"Plan2"}</definedName>
    <definedName name="sdkdjk" hidden="1">{#N/A,#N/A,FALSE,"Plan1";#N/A,#N/A,FALSE,"Plan2"}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3" hidden="1">{#N/A,#N/A,FALSE,"Plan1";#N/A,#N/A,FALSE,"Plan2"}</definedName>
    <definedName name="sdkfnjd" hidden="1">{#N/A,#N/A,FALSE,"Plan1";#N/A,#N/A,FALSE,"Plan2"}</definedName>
    <definedName name="sdkk" localSheetId="3" hidden="1">{#N/A,#N/A,FALSE,"Plan1";#N/A,#N/A,FALSE,"Plan2"}</definedName>
    <definedName name="sdkk" hidden="1">{#N/A,#N/A,FALSE,"Plan1";#N/A,#N/A,FALSE,"Plan2"}</definedName>
    <definedName name="sdlfsdflj" localSheetId="3" hidden="1">{#N/A,#N/A,FALSE,"Plan1";#N/A,#N/A,FALSE,"Plan2"}</definedName>
    <definedName name="sdlfsdflj" hidden="1">{#N/A,#N/A,FALSE,"Plan1";#N/A,#N/A,FALSE,"Plan2"}</definedName>
    <definedName name="sdmfmdfsgfd" localSheetId="3" hidden="1">{#N/A,#N/A,FALSE,"Plan1";#N/A,#N/A,FALSE,"Plan2"}</definedName>
    <definedName name="sdmfmdfsgfd" hidden="1">{#N/A,#N/A,FALSE,"Plan1";#N/A,#N/A,FALSE,"Plan2"}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3" hidden="1">{#N/A,#N/A,FALSE,"Plan1";#N/A,#N/A,FALSE,"Plan2"}</definedName>
    <definedName name="sdrfgt" hidden="1">{#N/A,#N/A,FALSE,"Plan1";#N/A,#N/A,FALSE,"Plan2"}</definedName>
    <definedName name="sdsd" localSheetId="3" hidden="1">{#N/A,#N/A,FALSE,"Plan1";#N/A,#N/A,FALSE,"Plan2"}</definedName>
    <definedName name="sdsd" hidden="1">{#N/A,#N/A,FALSE,"Plan1";#N/A,#N/A,FALSE,"Plan2"}</definedName>
    <definedName name="sdser" localSheetId="3" hidden="1">{#N/A,#N/A,FALSE,"Plan1";#N/A,#N/A,FALSE,"Plan2"}</definedName>
    <definedName name="sdser" hidden="1">{#N/A,#N/A,FALSE,"Plan1";#N/A,#N/A,FALSE,"Plan2"}</definedName>
    <definedName name="sdsre" localSheetId="3" hidden="1">{#N/A,#N/A,FALSE,"Plan1";#N/A,#N/A,FALSE,"Plan2"}</definedName>
    <definedName name="sdsre" hidden="1">{#N/A,#N/A,FALSE,"Plan1";#N/A,#N/A,FALSE,"Plan2"}</definedName>
    <definedName name="sdss" localSheetId="3" hidden="1">{#N/A,#N/A,FALSE,"Plan1";#N/A,#N/A,FALSE,"Plan2"}</definedName>
    <definedName name="sdss" hidden="1">{#N/A,#N/A,FALSE,"Plan1";#N/A,#N/A,FALSE,"Plan2"}</definedName>
    <definedName name="sdtrtg" hidden="1">#REF!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3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3" hidden="1">{#N/A,#N/A,FALSE,"Plan1";#N/A,#N/A,FALSE,"Plan2"}</definedName>
    <definedName name="sdxfrt" hidden="1">{#N/A,#N/A,FALSE,"Plan1";#N/A,#N/A,FALSE,"Plan2"}</definedName>
    <definedName name="SDZFERF" localSheetId="3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9">#REF!</definedName>
    <definedName name="SEG">#REF!</definedName>
    <definedName name="segftru" localSheetId="3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localSheetId="3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localSheetId="3" hidden="1">{#N/A,#N/A,FALSE,"Plan1";#N/A,#N/A,FALSE,"Plan2"}</definedName>
    <definedName name="sf" hidden="1">{#N/A,#N/A,FALSE,"Plan1";#N/A,#N/A,FALSE,"Plan2"}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3" hidden="1">{#N/A,#N/A,FALSE,"Plan1";#N/A,#N/A,FALSE,"Plan2"}</definedName>
    <definedName name="sfddfd" hidden="1">{#N/A,#N/A,FALSE,"Plan1";#N/A,#N/A,FALSE,"Plan2"}</definedName>
    <definedName name="sfds" localSheetId="3" hidden="1">{#N/A,#N/A,FALSE,"Plan1";#N/A,#N/A,FALSE,"Plan2"}</definedName>
    <definedName name="sfds" hidden="1">{#N/A,#N/A,FALSE,"Plan1";#N/A,#N/A,FALSE,"Plan2"}</definedName>
    <definedName name="sfdsd" localSheetId="3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3" hidden="1">{#N/A,#N/A,FALSE,"Plan1";#N/A,#N/A,FALSE,"Plan2"}</definedName>
    <definedName name="sfrsdrgt" hidden="1">{#N/A,#N/A,FALSE,"Plan1";#N/A,#N/A,FALSE,"Plan2"}</definedName>
    <definedName name="SFRT" localSheetId="3" hidden="1">{#N/A,#N/A,FALSE,"Plan1";#N/A,#N/A,FALSE,"Plan2"}</definedName>
    <definedName name="SFRT" hidden="1">{#N/A,#N/A,FALSE,"Plan1";#N/A,#N/A,FALSE,"Plan2"}</definedName>
    <definedName name="sfsdferf" localSheetId="3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3" hidden="1">{#N/A,#N/A,FALSE,"Plan1";#N/A,#N/A,FALSE,"Plan2"}</definedName>
    <definedName name="SFSDS" hidden="1">{#N/A,#N/A,FALSE,"Plan1";#N/A,#N/A,FALSE,"Plan2"}</definedName>
    <definedName name="SGarantia">#REF!</definedName>
    <definedName name="sgtghty" localSheetId="3" hidden="1">{#N/A,#N/A,FALSE,"Plan1";#N/A,#N/A,FALSE,"Plan2"}</definedName>
    <definedName name="sgtghty" hidden="1">{#N/A,#N/A,FALSE,"Plan1";#N/A,#N/A,FALSE,"Plan2"}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9">#REF!</definedName>
    <definedName name="SIH">#REF!</definedName>
    <definedName name="SISTEM1">#REF!</definedName>
    <definedName name="SISTEM2">#REF!</definedName>
    <definedName name="SIV">#REF!</definedName>
    <definedName name="sjawe" localSheetId="3" hidden="1">{#N/A,#N/A,FALSE,"Plan1";#N/A,#N/A,FALSE,"Plan2"}</definedName>
    <definedName name="sjawe" hidden="1">{#N/A,#N/A,FALSE,"Plan1";#N/A,#N/A,FALSE,"Plan2"}</definedName>
    <definedName name="sjdffd" localSheetId="3" hidden="1">{#N/A,#N/A,FALSE,"Plan1";#N/A,#N/A,FALSE,"Plan2"}</definedName>
    <definedName name="sjdffd" hidden="1">{#N/A,#N/A,FALSE,"Plan1";#N/A,#N/A,FALSE,"Plan2"}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3" hidden="1">{#N/A,#N/A,FALSE,"Plan1";#N/A,#N/A,FALSE,"Plan2"}</definedName>
    <definedName name="SJDHFHRE" hidden="1">{#N/A,#N/A,FALSE,"Plan1";#N/A,#N/A,FALSE,"Plan2"}</definedName>
    <definedName name="SJDKJDE" localSheetId="3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3" hidden="1">{#N/A,#N/A,FALSE,"Plan1";#N/A,#N/A,FALSE,"Plan2"}</definedName>
    <definedName name="sjekwjri" hidden="1">{#N/A,#N/A,FALSE,"Plan1";#N/A,#N/A,FALSE,"Plan2"}</definedName>
    <definedName name="sjfkdhsfds" localSheetId="3" hidden="1">{#N/A,#N/A,FALSE,"Plan1";#N/A,#N/A,FALSE,"Plan2"}</definedName>
    <definedName name="sjfkdhsfds" hidden="1">{#N/A,#N/A,FALSE,"Plan1";#N/A,#N/A,FALSE,"Plan2"}</definedName>
    <definedName name="sjkdljslkrje" localSheetId="3" hidden="1">{#N/A,#N/A,FALSE,"Plan1";#N/A,#N/A,FALSE,"Plan2"}</definedName>
    <definedName name="sjkdljslkrje" hidden="1">{#N/A,#N/A,FALSE,"Plan1";#N/A,#N/A,FALSE,"Plan2"}</definedName>
    <definedName name="skadadaszs" localSheetId="3" hidden="1">{#N/A,#N/A,FALSE,"Plan1";#N/A,#N/A,FALSE,"Plan2"}</definedName>
    <definedName name="skadadaszs" hidden="1">{#N/A,#N/A,FALSE,"Plan1";#N/A,#N/A,FALSE,"Plan2"}</definedName>
    <definedName name="SKASH" localSheetId="3" hidden="1">{#N/A,#N/A,FALSE,"Plan1";#N/A,#N/A,FALSE,"Plan2"}</definedName>
    <definedName name="SKASH" hidden="1">{#N/A,#N/A,FALSE,"Plan1";#N/A,#N/A,FALSE,"Plan2"}</definedName>
    <definedName name="skldfrde" localSheetId="3" hidden="1">{#N/A,#N/A,FALSE,"Plan1";#N/A,#N/A,FALSE,"Plan2"}</definedName>
    <definedName name="skldfrde" hidden="1">{#N/A,#N/A,FALSE,"Plan1";#N/A,#N/A,FALSE,"Plan2"}</definedName>
    <definedName name="skosroer" localSheetId="3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3" hidden="1">{#N/A,#N/A,FALSE,"Plan1";#N/A,#N/A,FALSE,"Plan2"}</definedName>
    <definedName name="sQEWWE" hidden="1">{#N/A,#N/A,FALSE,"Plan1";#N/A,#N/A,FALSE,"Plan2"}</definedName>
    <definedName name="SR" hidden="1">#REF!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9">#REF!</definedName>
    <definedName name="ss">#REF!</definedName>
    <definedName name="sssss" hidden="1">#REF!</definedName>
    <definedName name="stake_cury">#REF!</definedName>
    <definedName name="status_projeto" localSheetId="3" hidden="1">OFFSET(INDEX(#REF!,MATCH(#REF!,#REF!,0)),1,0,COUNTA(#REF!)-1)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9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3" hidden="1">{"'Edit'!$A$1:$V$2277"}</definedName>
    <definedName name="Test" hidden="1">{"'Edit'!$A$1:$V$2277"}</definedName>
    <definedName name="TESTANDO" localSheetId="3" hidden="1">{#N/A,#N/A,TRUE,"Quinzena 01 à 15-04-98 "}</definedName>
    <definedName name="TESTANDO" hidden="1">{#N/A,#N/A,TRUE,"Quinzena 01 à 15-04-98 "}</definedName>
    <definedName name="teste">#REF!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localSheetId="3" hidden="1">{#N/A,#N/A,FALSE,"Plan1";#N/A,#N/A,FALSE,"Plan2"}</definedName>
    <definedName name="thjgsergsr" hidden="1">{#N/A,#N/A,FALSE,"Plan1";#N/A,#N/A,FALSE,"Plan2"}</definedName>
    <definedName name="THYJ" localSheetId="3" hidden="1">{#N/A,#N/A,FALSE,"Plan1";#N/A,#N/A,FALSE,"Plan2"}</definedName>
    <definedName name="THYJ" hidden="1">{#N/A,#N/A,FALSE,"Plan1";#N/A,#N/A,FALSE,"Plan2"}</definedName>
    <definedName name="tihjgih" localSheetId="3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2">'Acabamentos de Piso e Parede'!$7:$11</definedName>
    <definedName name="_xlnm.Print_Titles" localSheetId="5">ALVENARIA!$2:$2</definedName>
    <definedName name="_xlnm.Print_Titles" localSheetId="9">#REF!</definedName>
    <definedName name="_xlnm.Print_Titles" localSheetId="15">COBERTURA!#REF!</definedName>
    <definedName name="_xlnm.Print_Titles" localSheetId="17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'INFRAESTRUTURA '!$2:$2</definedName>
    <definedName name="_xlnm.Print_Titles" localSheetId="6">INSTALAÇÕES!#REF!</definedName>
    <definedName name="_xlnm.Print_Titles" localSheetId="1">MOVIMENTAÇÃO_DE_TERRA!#REF!</definedName>
    <definedName name="_xlnm.Print_Titles" localSheetId="14">'PINTURA INTERNA'!$2:$2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1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5">#REF!</definedName>
    <definedName name="TOT" localSheetId="17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3" hidden="1">{#N/A,#N/A,FALSE,"Plan1";#N/A,#N/A,FALSE,"Plan2"}</definedName>
    <definedName name="trjyidih" hidden="1">{#N/A,#N/A,FALSE,"Plan1";#N/A,#N/A,FALSE,"Plan2"}</definedName>
    <definedName name="TRP" localSheetId="9">#REF!</definedName>
    <definedName name="TRP">#REF!</definedName>
    <definedName name="TTT">#REF!</definedName>
    <definedName name="TURNO">#REF!</definedName>
    <definedName name="tuyedjsksj" localSheetId="3" hidden="1">{#N/A,#N/A,FALSE,"Plan1";#N/A,#N/A,FALSE,"Plan2"}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3" hidden="1">{#N/A,#N/A,FALSE,"Plan1";#N/A,#N/A,FALSE,"Plan2"}</definedName>
    <definedName name="TYHGFHFHG" hidden="1">{#N/A,#N/A,FALSE,"Plan1";#N/A,#N/A,FALSE,"Plan2"}</definedName>
    <definedName name="u" localSheetId="9" hidden="1">{#N/A,#N/A,FALSE,"ET-CAPA";#N/A,#N/A,FALSE,"ET-PAG1";#N/A,#N/A,FALSE,"ET-PAG2";#N/A,#N/A,FALSE,"ET-PAG3";#N/A,#N/A,FALSE,"ET-PAG4";#N/A,#N/A,FALSE,"ET-PAG5"}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3" hidden="1">{#N/A,#N/A,FALSE,"Plan1";#N/A,#N/A,FALSE,"Plan2"}</definedName>
    <definedName name="udhgfhfg" hidden="1">{#N/A,#N/A,FALSE,"Plan1";#N/A,#N/A,FALSE,"Plan2"}</definedName>
    <definedName name="ueiutriuef" localSheetId="3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localSheetId="3" hidden="1">{#N/A,#N/A,FALSE,"Plan1";#N/A,#N/A,FALSE,"Plan2"}</definedName>
    <definedName name="UHGSDUS" hidden="1">{#N/A,#N/A,FALSE,"Plan1";#N/A,#N/A,FALSE,"Plan2"}</definedName>
    <definedName name="UI" hidden="1">#REF!</definedName>
    <definedName name="UIHWER45R" localSheetId="3" hidden="1">{#N/A,#N/A,FALSE,"Plan1";#N/A,#N/A,FALSE,"Plan2"}</definedName>
    <definedName name="UIHWER45R" hidden="1">{#N/A,#N/A,FALSE,"Plan1";#N/A,#N/A,FALSE,"Plan2"}</definedName>
    <definedName name="uiosderuiu" localSheetId="3" hidden="1">{#N/A,#N/A,FALSE,"Plan1";#N/A,#N/A,FALSE,"Plan2"}</definedName>
    <definedName name="uiosderuiu" hidden="1">{#N/A,#N/A,FALSE,"Plan1";#N/A,#N/A,FALSE,"Plan2"}</definedName>
    <definedName name="UIOURET" localSheetId="3" hidden="1">{#N/A,#N/A,FALSE,"Plan1";#N/A,#N/A,FALSE,"Plan2"}</definedName>
    <definedName name="UIOURET" hidden="1">{#N/A,#N/A,FALSE,"Plan1";#N/A,#N/A,FALSE,"Plan2"}</definedName>
    <definedName name="uiwuer" localSheetId="3" hidden="1">{#N/A,#N/A,FALSE,"Plan1";#N/A,#N/A,FALSE,"Plan2"}</definedName>
    <definedName name="uiwuer" hidden="1">{#N/A,#N/A,FALSE,"Plan1";#N/A,#N/A,FALSE,"Plan2"}</definedName>
    <definedName name="UKHDFDSGUDFKD" localSheetId="3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3" hidden="1">{#N/A,#N/A,FALSE,"Plan1";#N/A,#N/A,FALSE,"Plan2"}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localSheetId="3" hidden="1">{#N/A,#N/A,FALSE,"Plan1";#N/A,#N/A,FALSE,"Plan2"}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3" hidden="1">{#N/A,#N/A,TRUE,"Quinzena 01 à 15-04-98 "}</definedName>
    <definedName name="VERIFICAR" hidden="1">{#N/A,#N/A,TRUE,"Quinzena 01 à 15-04-98 "}</definedName>
    <definedName name="versao_estudo">#REF!</definedName>
    <definedName name="vfbg">#REF!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3" hidden="1">{#N/A,#N/A,FALSE,"Plan1";#N/A,#N/A,FALSE,"Plan2"}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3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3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3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3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3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3">#REF!</definedName>
    <definedName name="VOLUME1">#REF!</definedName>
    <definedName name="VOLUME2">#REF!</definedName>
    <definedName name="VOLUME3">#REF!</definedName>
    <definedName name="VSDHFGDFGR" localSheetId="3" hidden="1">{#N/A,#N/A,FALSE,"Plan1";#N/A,#N/A,FALSE,"Plan2"}</definedName>
    <definedName name="VSDHFGDFGR" hidden="1">{#N/A,#N/A,FALSE,"Plan1";#N/A,#N/A,FALSE,"Plan2"}</definedName>
    <definedName name="vvbb" localSheetId="3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3" hidden="1">{#N/A,#N/A,FALSE,"Plan1";#N/A,#N/A,FALSE,"Plan2"}</definedName>
    <definedName name="vvcbnb" hidden="1">{#N/A,#N/A,FALSE,"Plan1";#N/A,#N/A,FALSE,"Plan2"}</definedName>
    <definedName name="vvvvv" localSheetId="3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3" hidden="1">{#N/A,#N/A,FALSE,"Plan1";#N/A,#N/A,FALSE,"Plan2"}</definedName>
    <definedName name="vvvvvv" hidden="1">{#N/A,#N/A,FALSE,"Plan1";#N/A,#N/A,FALSE,"Plan2"}</definedName>
    <definedName name="vvvvvvvvvvvvvvvvv" localSheetId="3" hidden="1">{"HW",#N/A,FALSE,"1998"}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localSheetId="3" hidden="1">{#N/A,#N/A,FALSE,"Plan1";#N/A,#N/A,FALSE,"Plan2"}</definedName>
    <definedName name="werw4tr" hidden="1">{#N/A,#N/A,FALSE,"Plan1";#N/A,#N/A,FALSE,"Plan2"}</definedName>
    <definedName name="wetoedjtkdr" localSheetId="3" hidden="1">{#N/A,#N/A,FALSE,"Plan1";#N/A,#N/A,FALSE,"Plan2"}</definedName>
    <definedName name="wetoedjtkdr" hidden="1">{#N/A,#N/A,FALSE,"Plan1";#N/A,#N/A,FALSE,"Plan2"}</definedName>
    <definedName name="WHATS" localSheetId="3" hidden="1">{"'Edit'!$A$1:$V$2277"}</definedName>
    <definedName name="WHATS" hidden="1">{"'Edit'!$A$1:$V$2277"}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localSheetId="3" hidden="1">{#N/A,#N/A,FALSE,"Plan1";#N/A,#N/A,FALSE,"Plan2"}</definedName>
    <definedName name="WKJHIR" hidden="1">{#N/A,#N/A,FALSE,"Plan1";#N/A,#N/A,FALSE,"Plan2"}</definedName>
    <definedName name="WLQ" localSheetId="3" hidden="1">{#N/A,#N/A,FALSE,"명세표"}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localSheetId="3" hidden="1">{#N/A,#N/A,FALSE,"CCTV"}</definedName>
    <definedName name="WRITE" hidden="1">{#N/A,#N/A,FALSE,"CCTV"}</definedName>
    <definedName name="wrn.BM." localSheetId="3" hidden="1">{#N/A,#N/A,FALSE,"CCTV"}</definedName>
    <definedName name="wrn.BM." hidden="1">{#N/A,#N/A,FALSE,"CCTV"}</definedName>
    <definedName name="wrn.Brita98.xls." localSheetId="3" hidden="1">{#N/A,#N/A,TRUE,"Quinzena 01 à 15-04-98 "}</definedName>
    <definedName name="wrn.Brita98.xls." hidden="1">{#N/A,#N/A,TRUE,"Quinzena 01 à 15-04-98 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3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3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3" hidden="1">{"HW",#N/A,FALSE,"1998"}</definedName>
    <definedName name="wrn.HW." hidden="1">{"HW",#N/A,FALSE,"1998"}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3" hidden="1">{#N/A,#N/A,FALSE,"Plan1";#N/A,#N/A,FALSE,"Plan2"}</definedName>
    <definedName name="wrn.IMPRESSO." hidden="1">{#N/A,#N/A,FALSE,"Plan1";#N/A,#N/A,FALSE,"Plan2"}</definedName>
    <definedName name="wrn.Imprimir." localSheetId="3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3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3" hidden="1">{#N/A,#N/A,FALSE,"F-01"}</definedName>
    <definedName name="wrn.Planiha._.de._.Medição._.F._.01." hidden="1">{#N/A,#N/A,FALSE,"F-01"}</definedName>
    <definedName name="wrn.Planiha._.de._.Medição._.F._.01._1" localSheetId="3" hidden="1">{#N/A,#N/A,FALSE,"F-01"}</definedName>
    <definedName name="wrn.Planiha._.de._.Medição._.F._.01._1" hidden="1">{#N/A,#N/A,FALSE,"F-01"}</definedName>
    <definedName name="wrn.Planilha_de_Medição_F_02" localSheetId="3" hidden="1">{#N/A,#N/A,FALSE,"F-01"}</definedName>
    <definedName name="wrn.Planilha_de_Medição_F_02" hidden="1">{#N/A,#N/A,FALSE,"F-01"}</definedName>
    <definedName name="wrn.print._.all." localSheetId="3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3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3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3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3" hidden="1">{#N/A,#N/A,FALSE,"TABLE"}</definedName>
    <definedName name="wrn.STAFFS." hidden="1">{#N/A,#N/A,FALSE,"TABLE"}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3" hidden="1">{#N/A,#N/A,FALSE,"명세표"}</definedName>
    <definedName name="wrn.test1." hidden="1">{#N/A,#N/A,FALSE,"명세표"}</definedName>
    <definedName name="wrn.Unidades." localSheetId="3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3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3" hidden="1">{#N/A,#N/A,FALSE,"ENG'G(보호계전기)"}</definedName>
    <definedName name="wrn.보호계전기." hidden="1">{#N/A,#N/A,FALSE,"ENG'G(보호계전기)"}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3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3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3" hidden="1">{"'장비'!$A$3:$M$12"}</definedName>
    <definedName name="WRS" hidden="1">{"'장비'!$A$3:$M$12"}</definedName>
    <definedName name="wrt" localSheetId="3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localSheetId="3" hidden="1">{#N/A,#N/A,FALSE,"Plan1";#N/A,#N/A,FALSE,"Plan2"}</definedName>
    <definedName name="xcfrt" hidden="1">{#N/A,#N/A,FALSE,"Plan1";#N/A,#N/A,FALSE,"Plan2"}</definedName>
    <definedName name="xcgjkfghf" localSheetId="3" hidden="1">{#N/A,#N/A,FALSE,"Plan1";#N/A,#N/A,FALSE,"Plan2"}</definedName>
    <definedName name="xcgjkfghf" hidden="1">{#N/A,#N/A,FALSE,"Plan1";#N/A,#N/A,FALSE,"Plan2"}</definedName>
    <definedName name="XCGJKVHFDG" localSheetId="3" hidden="1">{#N/A,#N/A,FALSE,"Plan1";#N/A,#N/A,FALSE,"Plan2"}</definedName>
    <definedName name="XCGJKVHFDG" hidden="1">{#N/A,#N/A,FALSE,"Plan1";#N/A,#N/A,FALSE,"Plan2"}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localSheetId="3" hidden="1">{#N/A,#N/A,FALSE,"Plan1";#N/A,#N/A,FALSE,"Plan2"}</definedName>
    <definedName name="xçl" hidden="1">{#N/A,#N/A,FALSE,"Plan1";#N/A,#N/A,FALSE,"Plan2"}</definedName>
    <definedName name="xcndj" localSheetId="3" hidden="1">{#N/A,#N/A,FALSE,"Plan1";#N/A,#N/A,FALSE,"Plan2"}</definedName>
    <definedName name="xcndj" hidden="1">{#N/A,#N/A,FALSE,"Plan1";#N/A,#N/A,FALSE,"Plan2"}</definedName>
    <definedName name="XCV">#REF!</definedName>
    <definedName name="XCVGGT" localSheetId="3" hidden="1">{#N/A,#N/A,FALSE,"Plan1";#N/A,#N/A,FALSE,"Plan2"}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localSheetId="3" hidden="1">{#N/A,#N/A,FALSE,"Plan1";#N/A,#N/A,FALSE,"Plan2"}</definedName>
    <definedName name="xcvrg" hidden="1">{#N/A,#N/A,FALSE,"Plan1";#N/A,#N/A,FALSE,"Plan2"}</definedName>
    <definedName name="XDATA">#REF!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3" hidden="1">{#N/A,#N/A,FALSE,"Plan1";#N/A,#N/A,FALSE,"Plan2"}</definedName>
    <definedName name="xdgtyhyt" hidden="1">{#N/A,#N/A,FALSE,"Plan1";#N/A,#N/A,FALSE,"Plan2"}</definedName>
    <definedName name="xfdlfj" localSheetId="3" hidden="1">{#N/A,#N/A,FALSE,"Plan1";#N/A,#N/A,FALSE,"Plan2"}</definedName>
    <definedName name="xfdlfj" hidden="1">{#N/A,#N/A,FALSE,"Plan1";#N/A,#N/A,FALSE,"Plan2"}</definedName>
    <definedName name="xfdxfdf" localSheetId="3" hidden="1">{#N/A,#N/A,FALSE,"Plan1";#N/A,#N/A,FALSE,"Plan2"}</definedName>
    <definedName name="xfdxfdf" hidden="1">{#N/A,#N/A,FALSE,"Plan1";#N/A,#N/A,FALSE,"Plan2"}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3" hidden="1">{#N/A,#N/A,FALSE,"Plan1";#N/A,#N/A,FALSE,"Plan2"}</definedName>
    <definedName name="xfrty" hidden="1">{#N/A,#N/A,FALSE,"Plan1";#N/A,#N/A,FALSE,"Plan2"}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3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3" hidden="1">{#N/A,#N/A,FALSE,"Plan1";#N/A,#N/A,FALSE,"Plan2"}</definedName>
    <definedName name="xfvgcfgt" hidden="1">{#N/A,#N/A,FALSE,"Plan1";#N/A,#N/A,FALSE,"Plan2"}</definedName>
    <definedName name="xgrg" localSheetId="3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localSheetId="3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5">#REF!</definedName>
    <definedName name="xxxx" localSheetId="17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localSheetId="3" hidden="1">{#N/A,#N/A,FALSE,"Plan1";#N/A,#N/A,FALSE,"Plan2"}</definedName>
    <definedName name="xxxxxxxxxxxxxx" hidden="1">{#N/A,#N/A,FALSE,"Plan1";#N/A,#N/A,FALSE,"Plan2"}</definedName>
    <definedName name="xzfrt" localSheetId="3" hidden="1">{#N/A,#N/A,FALSE,"Plan1";#N/A,#N/A,FALSE,"Plan2"}</definedName>
    <definedName name="xzfrt" hidden="1">{#N/A,#N/A,FALSE,"Plan1";#N/A,#N/A,FALSE,"Plan2"}</definedName>
    <definedName name="yeitrtged" localSheetId="3" hidden="1">{#N/A,#N/A,FALSE,"Plan1";#N/A,#N/A,FALSE,"Plan2"}</definedName>
    <definedName name="yeitrtged" hidden="1">{#N/A,#N/A,FALSE,"Plan1";#N/A,#N/A,FALSE,"Plan2"}</definedName>
    <definedName name="yhdfiuygrui" localSheetId="3" hidden="1">{#N/A,#N/A,FALSE,"Plan1";#N/A,#N/A,FALSE,"Plan2"}</definedName>
    <definedName name="yhdfiuygrui" hidden="1">{#N/A,#N/A,FALSE,"Plan1";#N/A,#N/A,FALSE,"Plan2"}</definedName>
    <definedName name="YRGUYDRIY" localSheetId="3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localSheetId="3" hidden="1">{#N/A,#N/A,FALSE,"Plan1";#N/A,#N/A,FALSE,"Plan2"}</definedName>
    <definedName name="yuegursdmksf" hidden="1">{#N/A,#N/A,FALSE,"Plan1";#N/A,#N/A,FALSE,"Plan2"}</definedName>
    <definedName name="yuekl4fr" localSheetId="3" hidden="1">{#N/A,#N/A,FALSE,"Plan1";#N/A,#N/A,FALSE,"Plan2"}</definedName>
    <definedName name="yuekl4fr" hidden="1">{#N/A,#N/A,FALSE,"Plan1";#N/A,#N/A,FALSE,"Plan2"}</definedName>
    <definedName name="yureytuyrea" localSheetId="3" hidden="1">{#N/A,#N/A,FALSE,"Plan1";#N/A,#N/A,FALSE,"Plan2"}</definedName>
    <definedName name="yureytuyrea" hidden="1">{#N/A,#N/A,FALSE,"Plan1";#N/A,#N/A,FALSE,"Plan2"}</definedName>
    <definedName name="z" localSheetId="3" hidden="1">{"'Estimativa de Lançamento-JAN'!$A$1:$AI$85"}</definedName>
    <definedName name="z" hidden="1">{"'Estimativa de Lançamento-JAN'!$A$1:$AI$85"}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3" hidden="1">#REF!,#REF!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3" hidden="1">{#N/A,#N/A,FALSE,"Plan1";#N/A,#N/A,FALSE,"Plan2"}</definedName>
    <definedName name="zcdçskld" hidden="1">{#N/A,#N/A,FALSE,"Plan1";#N/A,#N/A,FALSE,"Plan2"}</definedName>
    <definedName name="zcsdrfrt" localSheetId="3" hidden="1">{#N/A,#N/A,FALSE,"Plan1";#N/A,#N/A,FALSE,"Plan2"}</definedName>
    <definedName name="zcsdrfrt" hidden="1">{#N/A,#N/A,FALSE,"Plan1";#N/A,#N/A,FALSE,"Plan2"}</definedName>
    <definedName name="ZDRE" localSheetId="3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localSheetId="3" hidden="1">{#N/A,#N/A,FALSE,"Plan1";#N/A,#N/A,FALSE,"Plan2"}</definedName>
    <definedName name="ZSADF" hidden="1">{#N/A,#N/A,FALSE,"Plan1";#N/A,#N/A,FALSE,"Plan2"}</definedName>
    <definedName name="zsads" localSheetId="3" hidden="1">{#N/A,#N/A,FALSE,"Plan1";#N/A,#N/A,FALSE,"Plan2"}</definedName>
    <definedName name="zsads" hidden="1">{#N/A,#N/A,FALSE,"Plan1";#N/A,#N/A,FALSE,"Plan2"}</definedName>
    <definedName name="ZSDFSETR" hidden="1">#REF!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3" hidden="1">{#N/A,#N/A,FALSE,"Plan1";#N/A,#N/A,FALSE,"Plan2"}</definedName>
    <definedName name="zxccdf" hidden="1">{#N/A,#N/A,FALSE,"Plan1";#N/A,#N/A,FALSE,"Plan2"}</definedName>
    <definedName name="zxcdsf" hidden="1">#REF!</definedName>
    <definedName name="zxcfdstrrt" localSheetId="3" hidden="1">{#N/A,#N/A,FALSE,"Plan1";#N/A,#N/A,FALSE,"Plan2"}</definedName>
    <definedName name="zxcfdstrrt" hidden="1">{#N/A,#N/A,FALSE,"Plan1";#N/A,#N/A,FALSE,"Plan2"}</definedName>
    <definedName name="zxcx" localSheetId="3" hidden="1">{#N/A,#N/A,FALSE,"Plan1";#N/A,#N/A,FALSE,"Plan2"}</definedName>
    <definedName name="zxcx" hidden="1">{#N/A,#N/A,FALSE,"Plan1";#N/A,#N/A,FALSE,"Plan2"}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3" hidden="1">{#N/A,#N/A,FALSE,"Plan1";#N/A,#N/A,FALSE,"Plan2"}</definedName>
    <definedName name="ZXFHDFRHDF" hidden="1">{#N/A,#N/A,FALSE,"Plan1";#N/A,#N/A,FALSE,"Plan2"}</definedName>
    <definedName name="ZZ">#REF!</definedName>
    <definedName name="zzdftr" localSheetId="3" hidden="1">{#N/A,#N/A,FALSE,"Plan1";#N/A,#N/A,FALSE,"Plan2"}</definedName>
    <definedName name="zzdftr" hidden="1">{#N/A,#N/A,FALSE,"Plan1";#N/A,#N/A,FALSE,"Plan2"}</definedName>
    <definedName name="zzz">#REF!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3" hidden="1">{"'장비'!$A$3:$M$12"}</definedName>
    <definedName name="ㄱㄷㄱㄷㄱㄱㅎㄺㄷ" hidden="1">{"'장비'!$A$3:$M$12"}</definedName>
    <definedName name="가나다" hidden="1">#REF!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localSheetId="3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3" hidden="1">{#N/A,#N/A,FALSE,"ENG'G(보호계전기)"}</definedName>
    <definedName name="공급구분표_수정" hidden="1">{#N/A,#N/A,FALSE,"ENG'G(보호계전기)"}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localSheetId="3" hidden="1">{#N/A,#N/A,FALSE,"CCTV"}</definedName>
    <definedName name="내역" hidden="1">{#N/A,#N/A,FALSE,"CCTV"}</definedName>
    <definedName name="ㄷㄳ" localSheetId="3" hidden="1">{"'장비'!$A$3:$M$12"}</definedName>
    <definedName name="ㄷㄳ" hidden="1">{"'장비'!$A$3:$M$12"}</definedName>
    <definedName name="ㄷㄷㄷㄷ" localSheetId="3" hidden="1">{"'장비'!$A$3:$M$12"}</definedName>
    <definedName name="ㄷㄷㄷㄷ" hidden="1">{"'장비'!$A$3:$M$12"}</definedName>
    <definedName name="ㄷㅈㅂㄷ" localSheetId="3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3" hidden="1">{"'장비'!$A$3:$M$12"}</definedName>
    <definedName name="ㄹㄹ" hidden="1">{"'장비'!$A$3:$M$12"}</definedName>
    <definedName name="ㄹㄹㄹ" hidden="1">#REF!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3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3" hidden="1">{#N/A,#N/A,FALSE,"명세표"}</definedName>
    <definedName name="ㅁ" hidden="1">{#N/A,#N/A,FALSE,"명세표"}</definedName>
    <definedName name="ㅁㄱ해ㅜ5" hidden="1">#REF!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3" hidden="1">{#N/A,#N/A,FALSE,"명세표"}</definedName>
    <definedName name="ㅁㅁ" hidden="1">{#N/A,#N/A,FALSE,"명세표"}</definedName>
    <definedName name="ㅁㅁㅁ" hidden="1">#REF!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3" hidden="1">{#N/A,#N/A,FALSE,"명세표"}</definedName>
    <definedName name="머" hidden="1">{#N/A,#N/A,FALSE,"명세표"}</definedName>
    <definedName name="ㅂㅂㅂㅂ" localSheetId="3" hidden="1">{#N/A,#N/A,FALSE,"명세표"}</definedName>
    <definedName name="ㅂㅂㅂㅂ" hidden="1">{#N/A,#N/A,FALSE,"명세표"}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3" hidden="1">{"'장비'!$A$3:$M$12"}</definedName>
    <definedName name="ㅂㅈㄱㅂㅈㄷㄱ" hidden="1">{"'장비'!$A$3:$M$12"}</definedName>
    <definedName name="ㅂㅈㄷ" localSheetId="3" hidden="1">{"'장비'!$A$3:$M$12"}</definedName>
    <definedName name="ㅂㅈㄷ" hidden="1">{"'장비'!$A$3:$M$12"}</definedName>
    <definedName name="ㅂㅈㄷㄷㅂㅈㅈㅂ" localSheetId="3" hidden="1">{"'장비'!$A$3:$M$12"}</definedName>
    <definedName name="ㅂㅈㄷㄷㅂㅈㅈㅂ" hidden="1">{"'장비'!$A$3:$M$12"}</definedName>
    <definedName name="ㅂㅈㄷㅂㅈ" localSheetId="3" hidden="1">{"'장비'!$A$3:$M$12"}</definedName>
    <definedName name="ㅂㅈㄷㅂㅈ" hidden="1">{"'장비'!$A$3:$M$12"}</definedName>
    <definedName name="ㅂㅈㄷㅂㅈㅈㅂㄷ" localSheetId="3" hidden="1">{"'장비'!$A$3:$M$12"}</definedName>
    <definedName name="ㅂㅈㄷㅂㅈㅈㅂㄷ" hidden="1">{"'장비'!$A$3:$M$12"}</definedName>
    <definedName name="ㅂㅈㄷㅈㅂㄷ" localSheetId="3" hidden="1">{"'장비'!$A$3:$M$12"}</definedName>
    <definedName name="ㅂㅈㄷㅈㅂㄷ" hidden="1">{"'장비'!$A$3:$M$12"}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localSheetId="3" hidden="1">{#N/A,#N/A,FALSE,"ENG'G(보호계전기)"}</definedName>
    <definedName name="보호" hidden="1">{#N/A,#N/A,FALSE,"ENG'G(보호계전기)"}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3" hidden="1">{"'장비'!$A$3:$M$12"}</definedName>
    <definedName name="ㅅㄱㄱㄷ" hidden="1">{"'장비'!$A$3:$M$12"}</definedName>
    <definedName name="ㅅㅅㅅㅅㅅ" localSheetId="3" hidden="1">{"'장비'!$A$3:$M$12"}</definedName>
    <definedName name="ㅅㅅㅅㅅㅅ" hidden="1">{"'장비'!$A$3:$M$12"}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localSheetId="3" hidden="1">{#N/A,#N/A,FALSE,"TABLE"}</definedName>
    <definedName name="새안" hidden="1">{#N/A,#N/A,FALSE,"TABLE"}</definedName>
    <definedName name="석항" localSheetId="3" hidden="1">{#N/A,#N/A,FALSE,"명세표"}</definedName>
    <definedName name="석항" hidden="1">{#N/A,#N/A,FALSE,"명세표"}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localSheetId="3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3" hidden="1">{#N/A,#N/A,FALSE,"명세표"}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3" hidden="1">{#N/A,#N/A,FALSE,"명세표"}</definedName>
    <definedName name="ㅈ" hidden="1">{#N/A,#N/A,FALSE,"명세표"}</definedName>
    <definedName name="ㅈㅈㅈㅈ" localSheetId="3" hidden="1">{#N/A,#N/A,FALSE,"명세표"}</definedName>
    <definedName name="ㅈㅈㅈㅈ" hidden="1">{#N/A,#N/A,FALSE,"명세표"}</definedName>
    <definedName name="자미" localSheetId="3" hidden="1">{#N/A,#N/A,FALSE,"명세표"}</definedName>
    <definedName name="자미" hidden="1">{#N/A,#N/A,FALSE,"명세표"}</definedName>
    <definedName name="자운" hidden="1">#REF!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3" hidden="1">{#N/A,#N/A,FALSE,"ENG'G(보호계전기)"}</definedName>
    <definedName name="중량비교검토" hidden="1">{#N/A,#N/A,FALSE,"ENG'G(보호계전기)"}</definedName>
    <definedName name="집계" localSheetId="3" hidden="1">{#N/A,#N/A,FALSE,"명세표"}</definedName>
    <definedName name="집계" hidden="1">{#N/A,#N/A,FALSE,"명세표"}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3" hidden="1">{#N/A,#N/A,FALSE,"명세표"}</definedName>
    <definedName name="ㅋㅁ" hidden="1">{#N/A,#N/A,FALSE,"명세표"}</definedName>
    <definedName name="ㅋㅋㅋ" localSheetId="3" hidden="1">{#N/A,#N/A,FALSE,"명세표"}</definedName>
    <definedName name="ㅋㅋㅋ" hidden="1">{#N/A,#N/A,FALSE,"명세표"}</definedName>
    <definedName name="ㅌㅌ" localSheetId="3" hidden="1">{#N/A,#N/A,FALSE,"명세표"}</definedName>
    <definedName name="ㅌㅌ" hidden="1">{#N/A,#N/A,FALSE,"명세표"}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3" hidden="1">{"'장비'!$A$3:$M$12"}</definedName>
    <definedName name="ㅎㅎㅎㅎ" hidden="1">{"'장비'!$A$3:$M$12"}</definedName>
    <definedName name="하하하" localSheetId="3" hidden="1">{#N/A,#N/A,FALSE,"명세표"}</definedName>
    <definedName name="하하하" hidden="1">{#N/A,#N/A,FALSE,"명세표"}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3" hidden="1">{#N/A,#N/A,FALSE,"명세표"}</definedName>
    <definedName name="호호호" hidden="1">{#N/A,#N/A,FALSE,"명세표"}</definedName>
    <definedName name="ㅏㅏㅏ" localSheetId="3" hidden="1">{#N/A,#N/A,FALSE,"명세표"}</definedName>
    <definedName name="ㅏㅏㅏ" hidden="1">{#N/A,#N/A,FALSE,"명세표"}</definedName>
    <definedName name="ㅔㅔ" localSheetId="3" hidden="1">{#N/A,#N/A,FALSE,"명세표"}</definedName>
    <definedName name="ㅔㅔ" hidden="1">{#N/A,#N/A,FALSE,"명세표"}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3" hidden="1">{"'장비'!$A$3:$M$12"}</definedName>
    <definedName name="ㅗ홓ㅎ로" hidden="1">{"'장비'!$A$3:$M$12"}</definedName>
    <definedName name="ㅗㅗ" localSheetId="3" hidden="1">{#N/A,#N/A,FALSE,"명세표"}</definedName>
    <definedName name="ㅗㅗ" hidden="1">{#N/A,#N/A,FALSE,"명세표"}</definedName>
    <definedName name="ㅗㅗㅗㅗㅗ" localSheetId="3" hidden="1">{"'장비'!$A$3:$M$12"}</definedName>
    <definedName name="ㅗㅗㅗㅗㅗ" hidden="1">{"'장비'!$A$3:$M$12"}</definedName>
    <definedName name="ㅛ" localSheetId="3" hidden="1">{"'장비'!$A$3:$M$12"}</definedName>
    <definedName name="ㅛ" hidden="1">{"'장비'!$A$3:$M$12"}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3" hidden="1">{"'장비'!$A$3:$M$12"}</definedName>
    <definedName name="ㅛㅛㅛ" hidden="1">{"'장비'!$A$3:$M$12"}</definedName>
    <definedName name="ㅜ" localSheetId="3" hidden="1">{#N/A,#N/A,FALSE,"명세표"}</definedName>
    <definedName name="ㅜ" hidden="1">{#N/A,#N/A,FALSE,"명세표"}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3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63" l="1"/>
  <c r="M37" i="68"/>
  <c r="D16" i="63"/>
  <c r="G16" i="63" s="1"/>
  <c r="G15" i="63"/>
  <c r="F13" i="63"/>
  <c r="J9" i="59" l="1"/>
  <c r="J7" i="59"/>
  <c r="C29" i="59"/>
  <c r="D30" i="59"/>
  <c r="D11" i="61"/>
  <c r="D10" i="61"/>
  <c r="D13" i="61"/>
  <c r="G44" i="55"/>
  <c r="D44" i="55"/>
  <c r="J13" i="65" l="1"/>
  <c r="B15" i="60" l="1"/>
  <c r="B14" i="60"/>
  <c r="F9" i="60"/>
  <c r="D22" i="51" l="1"/>
  <c r="F18" i="65" l="1"/>
  <c r="F12" i="65"/>
  <c r="G41" i="55"/>
  <c r="G38" i="55"/>
  <c r="G42" i="55"/>
  <c r="B38" i="55"/>
  <c r="H38" i="55" s="1"/>
  <c r="H41" i="55"/>
  <c r="H40" i="55"/>
  <c r="H37" i="55"/>
  <c r="D19" i="55"/>
  <c r="D18" i="55"/>
  <c r="D31" i="55"/>
  <c r="D27" i="55"/>
  <c r="D39" i="55"/>
  <c r="B45" i="55" l="1"/>
  <c r="B37" i="55"/>
  <c r="D13" i="65"/>
  <c r="B31" i="55"/>
  <c r="D30" i="55"/>
  <c r="L16" i="55"/>
  <c r="M16" i="55" s="1"/>
  <c r="L15" i="55"/>
  <c r="M15" i="55" s="1"/>
  <c r="I21" i="55"/>
  <c r="J21" i="55" s="1"/>
  <c r="K21" i="55" s="1"/>
  <c r="I20" i="55"/>
  <c r="J20" i="55" s="1"/>
  <c r="K20" i="55" s="1"/>
  <c r="I19" i="55"/>
  <c r="J19" i="55" s="1"/>
  <c r="K19" i="55" s="1"/>
  <c r="I18" i="55"/>
  <c r="J18" i="55" s="1"/>
  <c r="K18" i="55" s="1"/>
  <c r="F15" i="60"/>
  <c r="D16" i="60"/>
  <c r="F16" i="60" s="1"/>
  <c r="B18" i="55" l="1"/>
  <c r="D29" i="59"/>
  <c r="B38" i="59"/>
  <c r="D38" i="59" s="1"/>
  <c r="C39" i="59"/>
  <c r="C37" i="59"/>
  <c r="B37" i="59"/>
  <c r="D37" i="59" s="1"/>
  <c r="B35" i="59"/>
  <c r="D34" i="59"/>
  <c r="N14" i="59"/>
  <c r="N13" i="59"/>
  <c r="N11" i="59"/>
  <c r="N7" i="59"/>
  <c r="M11" i="59"/>
  <c r="M7" i="59"/>
  <c r="L8" i="59"/>
  <c r="B8" i="59" s="1"/>
  <c r="L9" i="59"/>
  <c r="B9" i="59" s="1"/>
  <c r="L10" i="59"/>
  <c r="B10" i="59" s="1"/>
  <c r="L12" i="59"/>
  <c r="K14" i="59"/>
  <c r="L14" i="59" s="1"/>
  <c r="K13" i="59"/>
  <c r="L13" i="59" s="1"/>
  <c r="K11" i="59"/>
  <c r="L11" i="59" s="1"/>
  <c r="K7" i="59"/>
  <c r="L7" i="59" s="1"/>
  <c r="J14" i="59"/>
  <c r="G7" i="59"/>
  <c r="G12" i="59"/>
  <c r="B19" i="55" l="1"/>
  <c r="G19" i="55" s="1"/>
  <c r="B27" i="55"/>
  <c r="B12" i="59"/>
  <c r="D12" i="59" s="1"/>
  <c r="B7" i="59"/>
  <c r="B14" i="59"/>
  <c r="B11" i="59"/>
  <c r="D11" i="59" s="1"/>
  <c r="B13" i="59"/>
  <c r="D13" i="59" s="1"/>
  <c r="D9" i="59"/>
  <c r="D23" i="59"/>
  <c r="D22" i="59"/>
  <c r="D21" i="59"/>
  <c r="D20" i="59"/>
  <c r="D60" i="58"/>
  <c r="D58" i="58"/>
  <c r="D45" i="58"/>
  <c r="D57" i="58"/>
  <c r="D56" i="58"/>
  <c r="D55" i="58"/>
  <c r="D54" i="58"/>
  <c r="D53" i="58"/>
  <c r="D52" i="58"/>
  <c r="D50" i="58"/>
  <c r="D51" i="58"/>
  <c r="B43" i="58"/>
  <c r="D43" i="58" s="1"/>
  <c r="B41" i="58"/>
  <c r="D44" i="58"/>
  <c r="D42" i="58"/>
  <c r="B40" i="58"/>
  <c r="D33" i="58"/>
  <c r="D27" i="58"/>
  <c r="D26" i="58"/>
  <c r="D25" i="58"/>
  <c r="D24" i="58"/>
  <c r="D23" i="58"/>
  <c r="B30" i="58"/>
  <c r="D30" i="58" s="1"/>
  <c r="B31" i="58"/>
  <c r="D31" i="58" s="1"/>
  <c r="D32" i="58"/>
  <c r="D29" i="58"/>
  <c r="D28" i="58"/>
  <c r="D14" i="58"/>
  <c r="B15" i="58"/>
  <c r="D24" i="59" l="1"/>
  <c r="D12" i="58" l="1"/>
  <c r="D11" i="58"/>
  <c r="D10" i="58"/>
  <c r="D9" i="58"/>
  <c r="D8" i="58"/>
  <c r="D7" i="58"/>
  <c r="D17" i="58"/>
  <c r="D16" i="58"/>
  <c r="D15" i="58"/>
  <c r="D13" i="58"/>
  <c r="D18" i="58" l="1"/>
  <c r="F43" i="58" l="1"/>
  <c r="F44" i="58" s="1"/>
  <c r="G44" i="58" s="1"/>
  <c r="D41" i="58"/>
  <c r="D40" i="58"/>
  <c r="E45" i="58" l="1"/>
  <c r="D39" i="58"/>
  <c r="G45" i="55" l="1"/>
  <c r="B42" i="55"/>
  <c r="B41" i="55" s="1"/>
  <c r="I41" i="55" s="1"/>
  <c r="G40" i="55"/>
  <c r="G39" i="55"/>
  <c r="D28" i="55"/>
  <c r="B20" i="55"/>
  <c r="G20" i="55" s="1"/>
  <c r="B15" i="55"/>
  <c r="B17" i="55" s="1"/>
  <c r="G17" i="55" s="1"/>
  <c r="I40" i="55" l="1"/>
  <c r="B26" i="55"/>
  <c r="B29" i="55" s="1"/>
  <c r="G29" i="55" s="1"/>
  <c r="G26" i="55"/>
  <c r="B16" i="55"/>
  <c r="G16" i="55" s="1"/>
  <c r="D9" i="60" l="1"/>
  <c r="F32" i="46"/>
  <c r="D19" i="60"/>
  <c r="D18" i="60"/>
  <c r="D17" i="60"/>
  <c r="D13" i="60"/>
  <c r="D12" i="60"/>
  <c r="D11" i="60"/>
  <c r="D10" i="60"/>
  <c r="D12" i="66"/>
  <c r="D11" i="66"/>
  <c r="D10" i="66"/>
  <c r="J13" i="66"/>
  <c r="D9" i="66"/>
  <c r="F9" i="66"/>
  <c r="J10" i="66"/>
  <c r="J9" i="66"/>
  <c r="F10" i="66"/>
  <c r="L40" i="53"/>
  <c r="K40" i="53"/>
  <c r="J42" i="53"/>
  <c r="J40" i="53"/>
  <c r="J41" i="53"/>
  <c r="D12" i="65"/>
  <c r="B8" i="65" s="1"/>
  <c r="D26" i="65"/>
  <c r="D25" i="65"/>
  <c r="D27" i="65"/>
  <c r="G27" i="65" s="1"/>
  <c r="F10" i="65"/>
  <c r="D24" i="65"/>
  <c r="D22" i="65"/>
  <c r="D20" i="65"/>
  <c r="G20" i="65"/>
  <c r="F21" i="65"/>
  <c r="D19" i="65"/>
  <c r="D18" i="65"/>
  <c r="D17" i="65"/>
  <c r="D14" i="65"/>
  <c r="G14" i="65" s="1"/>
  <c r="H14" i="65" s="1"/>
  <c r="G13" i="65"/>
  <c r="H13" i="65" s="1"/>
  <c r="F19" i="64"/>
  <c r="F18" i="64"/>
  <c r="F17" i="64"/>
  <c r="F16" i="64"/>
  <c r="F15" i="64"/>
  <c r="F14" i="64"/>
  <c r="F12" i="64"/>
  <c r="F19" i="63"/>
  <c r="F11" i="63"/>
  <c r="B32" i="53" l="1"/>
  <c r="B34" i="53"/>
  <c r="G9" i="66"/>
  <c r="G12" i="66"/>
  <c r="G10" i="66"/>
  <c r="D10" i="65"/>
  <c r="G10" i="65" s="1"/>
  <c r="B20" i="53"/>
  <c r="B26" i="53" s="1"/>
  <c r="D34" i="53"/>
  <c r="B35" i="53"/>
  <c r="G35" i="53" s="1"/>
  <c r="D32" i="53"/>
  <c r="B33" i="53"/>
  <c r="G33" i="53" s="1"/>
  <c r="G21" i="53"/>
  <c r="G19" i="53"/>
  <c r="G36" i="53"/>
  <c r="A37" i="53"/>
  <c r="B20" i="51"/>
  <c r="B36" i="51" s="1"/>
  <c r="F16" i="62"/>
  <c r="D14" i="62"/>
  <c r="F13" i="62"/>
  <c r="D11" i="62"/>
  <c r="D12" i="62"/>
  <c r="B10" i="61"/>
  <c r="B22" i="51" l="1"/>
  <c r="G22" i="51" s="1"/>
  <c r="G11" i="66"/>
  <c r="G18" i="66" s="1"/>
  <c r="F12" i="66"/>
  <c r="H10" i="65"/>
  <c r="D11" i="65"/>
  <c r="G11" i="65" s="1"/>
  <c r="H11" i="65" s="1"/>
  <c r="G20" i="53"/>
  <c r="G34" i="53"/>
  <c r="K34" i="53" s="1"/>
  <c r="G26" i="53"/>
  <c r="G32" i="53"/>
  <c r="F14" i="61" l="1"/>
  <c r="G12" i="61"/>
  <c r="D14" i="61"/>
  <c r="D12" i="61"/>
  <c r="D16" i="61" l="1"/>
  <c r="G16" i="61" s="1"/>
  <c r="B37" i="51"/>
  <c r="D16" i="64"/>
  <c r="H67" i="48"/>
  <c r="F16" i="48"/>
  <c r="D12" i="48"/>
  <c r="D10" i="48"/>
  <c r="D15" i="48"/>
  <c r="D13" i="48"/>
  <c r="D11" i="48"/>
  <c r="G34" i="47"/>
  <c r="D31" i="47"/>
  <c r="D25" i="47"/>
  <c r="D23" i="47"/>
  <c r="D22" i="47"/>
  <c r="D31" i="70"/>
  <c r="D30" i="70"/>
  <c r="D28" i="70"/>
  <c r="D29" i="70"/>
  <c r="B29" i="70" s="1"/>
  <c r="G28" i="70"/>
  <c r="B31" i="70"/>
  <c r="F31" i="70" s="1"/>
  <c r="F29" i="70"/>
  <c r="G22" i="70"/>
  <c r="G21" i="70"/>
  <c r="G20" i="70"/>
  <c r="F19" i="70"/>
  <c r="G19" i="70" s="1"/>
  <c r="F18" i="70"/>
  <c r="G18" i="70" s="1"/>
  <c r="D17" i="70"/>
  <c r="D18" i="70" s="1"/>
  <c r="F16" i="70"/>
  <c r="F14" i="70"/>
  <c r="G14" i="70" s="1"/>
  <c r="D14" i="70"/>
  <c r="D12" i="70"/>
  <c r="G12" i="70" s="1"/>
  <c r="G16" i="64" l="1"/>
  <c r="D17" i="64"/>
  <c r="G17" i="64" s="1"/>
  <c r="G31" i="70"/>
  <c r="G29" i="70"/>
  <c r="B28" i="70"/>
  <c r="B17" i="70"/>
  <c r="G30" i="70"/>
  <c r="D15" i="70"/>
  <c r="G32" i="70" l="1"/>
  <c r="D10" i="70"/>
  <c r="D16" i="70"/>
  <c r="G16" i="70" s="1"/>
  <c r="G23" i="70" s="1"/>
  <c r="G24" i="70" s="1"/>
  <c r="B15" i="70"/>
  <c r="G35" i="70" l="1"/>
  <c r="H35" i="70" s="1"/>
  <c r="B13" i="70"/>
  <c r="B11" i="70"/>
  <c r="B10" i="70"/>
  <c r="G38" i="46" l="1"/>
  <c r="G37" i="46"/>
  <c r="G36" i="46"/>
  <c r="G35" i="46"/>
  <c r="G34" i="46"/>
  <c r="E34" i="46"/>
  <c r="F33" i="46"/>
  <c r="G33" i="46" s="1"/>
  <c r="E33" i="46"/>
  <c r="G32" i="46"/>
  <c r="F31" i="46"/>
  <c r="G31" i="46" s="1"/>
  <c r="F30" i="46"/>
  <c r="G30" i="46" s="1"/>
  <c r="G29" i="46"/>
  <c r="G28" i="46"/>
  <c r="G27" i="46"/>
  <c r="G26" i="46"/>
  <c r="G25" i="46"/>
  <c r="G24" i="46"/>
  <c r="G23" i="46"/>
  <c r="E22" i="46"/>
  <c r="G22" i="46" s="1"/>
  <c r="G21" i="46"/>
  <c r="G20" i="46"/>
  <c r="G19" i="46"/>
  <c r="G18" i="46"/>
  <c r="G17" i="46"/>
  <c r="G16" i="46"/>
  <c r="G15" i="46"/>
  <c r="E14" i="46"/>
  <c r="G14" i="46" s="1"/>
  <c r="E13" i="46"/>
  <c r="G13" i="46" s="1"/>
  <c r="G12" i="46"/>
  <c r="E12" i="46"/>
  <c r="G11" i="46"/>
  <c r="G9" i="46" s="1"/>
  <c r="E11" i="46"/>
  <c r="G10" i="46"/>
  <c r="F9" i="46"/>
  <c r="E9" i="46"/>
  <c r="M28" i="68" l="1"/>
  <c r="J198" i="68"/>
  <c r="J191" i="68"/>
  <c r="J193" i="68"/>
  <c r="J195" i="68"/>
  <c r="J196" i="68"/>
  <c r="J197" i="68"/>
  <c r="F194" i="68"/>
  <c r="J194" i="68" s="1"/>
  <c r="J190" i="68"/>
  <c r="J189" i="68"/>
  <c r="F192" i="68"/>
  <c r="J192" i="68" s="1"/>
  <c r="J188" i="68"/>
  <c r="J187" i="68"/>
  <c r="M27" i="68" s="1"/>
  <c r="J186" i="68"/>
  <c r="J185" i="68"/>
  <c r="J184" i="68"/>
  <c r="J183" i="68"/>
  <c r="J182" i="68"/>
  <c r="J181" i="68"/>
  <c r="J179" i="68"/>
  <c r="J178" i="68"/>
  <c r="J177" i="68"/>
  <c r="F187" i="68"/>
  <c r="F186" i="68"/>
  <c r="F180" i="68"/>
  <c r="J180" i="68" s="1"/>
  <c r="F178" i="68"/>
  <c r="J176" i="68"/>
  <c r="J175" i="68"/>
  <c r="J174" i="68"/>
  <c r="J171" i="68"/>
  <c r="J169" i="68"/>
  <c r="J168" i="68"/>
  <c r="J166" i="68"/>
  <c r="F173" i="68"/>
  <c r="J173" i="68" s="1"/>
  <c r="F172" i="68"/>
  <c r="J172" i="68" s="1"/>
  <c r="F170" i="68"/>
  <c r="J170" i="68" s="1"/>
  <c r="F167" i="68"/>
  <c r="J167" i="68" s="1"/>
  <c r="I165" i="68"/>
  <c r="I164" i="68"/>
  <c r="F165" i="68"/>
  <c r="J164" i="68"/>
  <c r="I163" i="68"/>
  <c r="J163" i="68" s="1"/>
  <c r="I162" i="68"/>
  <c r="J162" i="68" s="1"/>
  <c r="I155" i="68"/>
  <c r="J155" i="68"/>
  <c r="F161" i="68"/>
  <c r="J161" i="68" s="1"/>
  <c r="F160" i="68"/>
  <c r="F153" i="68"/>
  <c r="F152" i="68"/>
  <c r="F148" i="68"/>
  <c r="J157" i="68"/>
  <c r="I161" i="68"/>
  <c r="I160" i="68"/>
  <c r="I159" i="68"/>
  <c r="J159" i="68" s="1"/>
  <c r="I158" i="68"/>
  <c r="J158" i="68" s="1"/>
  <c r="I157" i="68"/>
  <c r="I156" i="68"/>
  <c r="J156" i="68" s="1"/>
  <c r="I154" i="68"/>
  <c r="J154" i="68" s="1"/>
  <c r="I153" i="68"/>
  <c r="I152" i="68"/>
  <c r="I151" i="68"/>
  <c r="J151" i="68" s="1"/>
  <c r="I150" i="68"/>
  <c r="J150" i="68" s="1"/>
  <c r="I149" i="68"/>
  <c r="J149" i="68" s="1"/>
  <c r="I148" i="68"/>
  <c r="J147" i="68"/>
  <c r="J146" i="68"/>
  <c r="J142" i="68"/>
  <c r="J141" i="68"/>
  <c r="J140" i="68"/>
  <c r="J139" i="68"/>
  <c r="F145" i="68"/>
  <c r="J145" i="68" s="1"/>
  <c r="F144" i="68"/>
  <c r="J144" i="68" s="1"/>
  <c r="F143" i="68"/>
  <c r="J143" i="68" s="1"/>
  <c r="J125" i="68"/>
  <c r="J126" i="68"/>
  <c r="J127" i="68"/>
  <c r="J129" i="68"/>
  <c r="J130" i="68"/>
  <c r="J131" i="68"/>
  <c r="J132" i="68"/>
  <c r="J133" i="68"/>
  <c r="J136" i="68"/>
  <c r="J138" i="68"/>
  <c r="F137" i="68"/>
  <c r="J137" i="68" s="1"/>
  <c r="F135" i="68"/>
  <c r="J135" i="68" s="1"/>
  <c r="F134" i="68"/>
  <c r="J134" i="68" s="1"/>
  <c r="F117" i="68"/>
  <c r="F128" i="68"/>
  <c r="J128" i="68" s="1"/>
  <c r="F124" i="68"/>
  <c r="J124" i="68" s="1"/>
  <c r="F123" i="68"/>
  <c r="J123" i="68" s="1"/>
  <c r="J116" i="68"/>
  <c r="J113" i="68"/>
  <c r="J112" i="68"/>
  <c r="J111" i="68"/>
  <c r="J118" i="68"/>
  <c r="J119" i="68"/>
  <c r="J120" i="68"/>
  <c r="J121" i="68"/>
  <c r="J122" i="68"/>
  <c r="F115" i="68"/>
  <c r="J115" i="68" s="1"/>
  <c r="F114" i="68"/>
  <c r="J114" i="68" s="1"/>
  <c r="F110" i="68"/>
  <c r="J110" i="68" s="1"/>
  <c r="J107" i="68"/>
  <c r="J109" i="68"/>
  <c r="J81" i="68"/>
  <c r="J86" i="68"/>
  <c r="M23" i="68" s="1"/>
  <c r="B23" i="53" s="1"/>
  <c r="J87" i="68"/>
  <c r="J90" i="68"/>
  <c r="J92" i="68"/>
  <c r="J95" i="68"/>
  <c r="J96" i="68"/>
  <c r="J98" i="68"/>
  <c r="J99" i="68"/>
  <c r="J100" i="68"/>
  <c r="J101" i="68"/>
  <c r="J102" i="68"/>
  <c r="J104" i="68"/>
  <c r="J106" i="68"/>
  <c r="F108" i="68"/>
  <c r="J108" i="68" s="1"/>
  <c r="F103" i="68"/>
  <c r="J103" i="68" s="1"/>
  <c r="F105" i="68"/>
  <c r="J105" i="68" s="1"/>
  <c r="F97" i="68"/>
  <c r="J97" i="68" s="1"/>
  <c r="F94" i="68"/>
  <c r="J94" i="68" s="1"/>
  <c r="F93" i="68"/>
  <c r="J93" i="68" s="1"/>
  <c r="F91" i="68"/>
  <c r="J91" i="68" s="1"/>
  <c r="F89" i="68"/>
  <c r="J89" i="68" s="1"/>
  <c r="M24" i="68" s="1"/>
  <c r="B24" i="53" s="1"/>
  <c r="G24" i="53" s="1"/>
  <c r="F88" i="68"/>
  <c r="J88" i="68" s="1"/>
  <c r="F86" i="68"/>
  <c r="F85" i="68"/>
  <c r="J85" i="68" s="1"/>
  <c r="F84" i="68"/>
  <c r="J84" i="68" s="1"/>
  <c r="F82" i="68"/>
  <c r="J82" i="68" s="1"/>
  <c r="F83" i="68"/>
  <c r="J83" i="68" s="1"/>
  <c r="F80" i="68"/>
  <c r="J80" i="68" s="1"/>
  <c r="F79" i="68"/>
  <c r="J79" i="68" s="1"/>
  <c r="F76" i="68"/>
  <c r="J76" i="68" s="1"/>
  <c r="F75" i="68"/>
  <c r="J75" i="68" s="1"/>
  <c r="F71" i="68"/>
  <c r="F66" i="68"/>
  <c r="J66" i="68" s="1"/>
  <c r="F64" i="68"/>
  <c r="J64" i="68" s="1"/>
  <c r="F61" i="68"/>
  <c r="J61" i="68" s="1"/>
  <c r="F59" i="68"/>
  <c r="J59" i="68" s="1"/>
  <c r="F57" i="68"/>
  <c r="J57" i="68"/>
  <c r="F55" i="68"/>
  <c r="J55" i="68" s="1"/>
  <c r="F53" i="68"/>
  <c r="J53" i="68" s="1"/>
  <c r="F13" i="68"/>
  <c r="F42" i="68"/>
  <c r="J42" i="68" s="1"/>
  <c r="F51" i="68"/>
  <c r="J51" i="68" s="1"/>
  <c r="F44" i="68"/>
  <c r="J44" i="68" s="1"/>
  <c r="F33" i="68"/>
  <c r="F31" i="68"/>
  <c r="F26" i="68"/>
  <c r="F22" i="68"/>
  <c r="F15" i="68"/>
  <c r="J78" i="68"/>
  <c r="J77" i="68"/>
  <c r="J74" i="68"/>
  <c r="J72" i="68"/>
  <c r="J73" i="68"/>
  <c r="D11" i="63" s="1"/>
  <c r="J40" i="68"/>
  <c r="J69" i="68"/>
  <c r="J70" i="68"/>
  <c r="J67" i="68"/>
  <c r="J65" i="68"/>
  <c r="D13" i="63" s="1"/>
  <c r="J63" i="68"/>
  <c r="J62" i="68"/>
  <c r="J60" i="68"/>
  <c r="J58" i="68"/>
  <c r="J56" i="68"/>
  <c r="J68" i="68"/>
  <c r="J54" i="68"/>
  <c r="J52" i="68"/>
  <c r="J50" i="68"/>
  <c r="J49" i="68"/>
  <c r="J48" i="68"/>
  <c r="J47" i="68"/>
  <c r="J46" i="68"/>
  <c r="J45" i="68"/>
  <c r="J43" i="68"/>
  <c r="J41" i="68"/>
  <c r="J39" i="68"/>
  <c r="J38" i="68"/>
  <c r="G13" i="61"/>
  <c r="G11" i="63" l="1"/>
  <c r="G13" i="63"/>
  <c r="G23" i="53"/>
  <c r="J117" i="68"/>
  <c r="M25" i="68" s="1"/>
  <c r="D15" i="62"/>
  <c r="J160" i="68"/>
  <c r="J153" i="68"/>
  <c r="B36" i="59" s="1"/>
  <c r="D36" i="59" s="1"/>
  <c r="J165" i="68"/>
  <c r="J148" i="68"/>
  <c r="M12" i="68" s="1"/>
  <c r="B18" i="51" s="1"/>
  <c r="J152" i="68"/>
  <c r="J71" i="68"/>
  <c r="M26" i="68" l="1"/>
  <c r="B16" i="53" s="1"/>
  <c r="G16" i="53" s="1"/>
  <c r="D10" i="62"/>
  <c r="D17" i="62"/>
  <c r="D10" i="47"/>
  <c r="F10" i="47"/>
  <c r="F13" i="48" l="1"/>
  <c r="F17" i="65" l="1"/>
  <c r="F13" i="60" l="1"/>
  <c r="F14" i="60"/>
  <c r="F20" i="60" s="1"/>
  <c r="D15" i="51"/>
  <c r="G14" i="66"/>
  <c r="G17" i="65"/>
  <c r="I37" i="55" l="1"/>
  <c r="D43" i="55"/>
  <c r="G43" i="55" s="1"/>
  <c r="G46" i="55" s="1"/>
  <c r="I38" i="55"/>
  <c r="G25" i="65"/>
  <c r="C33" i="65"/>
  <c r="D33" i="65" s="1"/>
  <c r="M21" i="68"/>
  <c r="B18" i="53" s="1"/>
  <c r="J21" i="68"/>
  <c r="K23" i="55"/>
  <c r="C35" i="65"/>
  <c r="D35" i="65" s="1"/>
  <c r="D34" i="65"/>
  <c r="E36" i="65"/>
  <c r="E34" i="65"/>
  <c r="E37" i="65" s="1"/>
  <c r="D36" i="65"/>
  <c r="G27" i="55" l="1"/>
  <c r="B28" i="55"/>
  <c r="G31" i="55"/>
  <c r="G18" i="53"/>
  <c r="B30" i="53"/>
  <c r="G30" i="53" s="1"/>
  <c r="D37" i="65"/>
  <c r="G28" i="55" l="1"/>
  <c r="B30" i="55"/>
  <c r="G30" i="55" s="1"/>
  <c r="G17" i="66"/>
  <c r="D12" i="64"/>
  <c r="D44" i="61"/>
  <c r="M22" i="68"/>
  <c r="B22" i="53" s="1"/>
  <c r="M29" i="68"/>
  <c r="J37" i="68"/>
  <c r="J36" i="68"/>
  <c r="J32" i="68"/>
  <c r="M20" i="68" s="1"/>
  <c r="D33" i="59"/>
  <c r="J24" i="68"/>
  <c r="J28" i="68"/>
  <c r="J26" i="68"/>
  <c r="J16" i="68"/>
  <c r="J18" i="68"/>
  <c r="M36" i="68"/>
  <c r="G14" i="63" s="1"/>
  <c r="M34" i="68"/>
  <c r="J34" i="68"/>
  <c r="J33" i="68"/>
  <c r="J31" i="68"/>
  <c r="M19" i="68" s="1"/>
  <c r="B25" i="53" s="1"/>
  <c r="G25" i="53" s="1"/>
  <c r="J30" i="68"/>
  <c r="J29" i="68"/>
  <c r="J27" i="68"/>
  <c r="J25" i="68"/>
  <c r="J23" i="68"/>
  <c r="J22" i="68"/>
  <c r="J20" i="68"/>
  <c r="J19" i="68"/>
  <c r="J17" i="68"/>
  <c r="A17" i="68"/>
  <c r="J15" i="68"/>
  <c r="J14" i="68"/>
  <c r="J13" i="68"/>
  <c r="J12" i="68"/>
  <c r="J11" i="68"/>
  <c r="B15" i="51" l="1"/>
  <c r="D10" i="64" s="1"/>
  <c r="L9" i="64" s="1"/>
  <c r="L10" i="64" s="1"/>
  <c r="G12" i="64"/>
  <c r="D13" i="64"/>
  <c r="M35" i="68"/>
  <c r="D20" i="63" s="1"/>
  <c r="G32" i="55"/>
  <c r="G22" i="53"/>
  <c r="B28" i="53"/>
  <c r="G28" i="53" s="1"/>
  <c r="M18" i="68"/>
  <c r="B16" i="51" s="1"/>
  <c r="M33" i="68"/>
  <c r="D17" i="63" s="1"/>
  <c r="D15" i="61"/>
  <c r="B29" i="51" s="1"/>
  <c r="M16" i="68"/>
  <c r="B17" i="53" s="1"/>
  <c r="G17" i="53" s="1"/>
  <c r="J35" i="68"/>
  <c r="M32" i="68" s="1"/>
  <c r="D10" i="63" s="1"/>
  <c r="D18" i="64" s="1"/>
  <c r="G10" i="64" l="1"/>
  <c r="I10" i="64" s="1"/>
  <c r="D18" i="63"/>
  <c r="G18" i="63" s="1"/>
  <c r="D14" i="64"/>
  <c r="G19" i="63"/>
  <c r="D19" i="64"/>
  <c r="G19" i="64" s="1"/>
  <c r="G18" i="64"/>
  <c r="G10" i="63"/>
  <c r="D12" i="63"/>
  <c r="G12" i="63" s="1"/>
  <c r="D38" i="61"/>
  <c r="M17" i="68"/>
  <c r="B15" i="53" s="1"/>
  <c r="M11" i="68"/>
  <c r="B17" i="51" s="1"/>
  <c r="D32" i="59"/>
  <c r="G17" i="51" l="1"/>
  <c r="B19" i="51"/>
  <c r="G19" i="51" s="1"/>
  <c r="D15" i="64"/>
  <c r="G15" i="64" s="1"/>
  <c r="G14" i="64"/>
  <c r="B27" i="53"/>
  <c r="G27" i="53" s="1"/>
  <c r="B29" i="53"/>
  <c r="G15" i="53"/>
  <c r="G13" i="48"/>
  <c r="B31" i="53" l="1"/>
  <c r="G31" i="53" s="1"/>
  <c r="G29" i="53"/>
  <c r="G37" i="53" s="1"/>
  <c r="K35" i="53" s="1"/>
  <c r="D29" i="48"/>
  <c r="D30" i="48" s="1"/>
  <c r="B27" i="48"/>
  <c r="B26" i="48"/>
  <c r="F26" i="48" s="1"/>
  <c r="D28" i="48"/>
  <c r="F28" i="48"/>
  <c r="G28" i="48" l="1"/>
  <c r="D24" i="61" l="1"/>
  <c r="D25" i="61"/>
  <c r="G16" i="66" l="1"/>
  <c r="F63" i="48" l="1"/>
  <c r="G63" i="48" s="1"/>
  <c r="F62" i="48"/>
  <c r="F59" i="48"/>
  <c r="F60" i="48" s="1"/>
  <c r="D62" i="48"/>
  <c r="D59" i="48"/>
  <c r="F56" i="48"/>
  <c r="D58" i="48"/>
  <c r="D55" i="48"/>
  <c r="G55" i="48" s="1"/>
  <c r="D54" i="48"/>
  <c r="D53" i="48" s="1"/>
  <c r="F58" i="48"/>
  <c r="G58" i="48" l="1"/>
  <c r="D60" i="48"/>
  <c r="G60" i="48" s="1"/>
  <c r="G59" i="48"/>
  <c r="G54" i="48"/>
  <c r="G53" i="48"/>
  <c r="G62" i="48"/>
  <c r="H36" i="46" l="1"/>
  <c r="D27" i="61" l="1"/>
  <c r="G27" i="61" s="1"/>
  <c r="D26" i="61"/>
  <c r="G26" i="61" s="1"/>
  <c r="F30" i="61"/>
  <c r="D23" i="61"/>
  <c r="G25" i="61" l="1"/>
  <c r="F33" i="48"/>
  <c r="F32" i="48"/>
  <c r="F29" i="48"/>
  <c r="F24" i="48"/>
  <c r="D32" i="48"/>
  <c r="D14" i="48"/>
  <c r="F25" i="48"/>
  <c r="D24" i="48"/>
  <c r="D23" i="48"/>
  <c r="D22" i="48" s="1"/>
  <c r="F30" i="48" l="1"/>
  <c r="G30" i="48" s="1"/>
  <c r="G29" i="48"/>
  <c r="F10" i="60"/>
  <c r="G15" i="65"/>
  <c r="G16" i="65" l="1"/>
  <c r="G19" i="65"/>
  <c r="G16" i="51"/>
  <c r="G18" i="51"/>
  <c r="D18" i="51"/>
  <c r="D17" i="51"/>
  <c r="G15" i="51" l="1"/>
  <c r="J13" i="51" s="1"/>
  <c r="I29" i="53" s="1"/>
  <c r="D39" i="59"/>
  <c r="D31" i="59"/>
  <c r="D40" i="59" s="1"/>
  <c r="G23" i="65" l="1"/>
  <c r="G13" i="66"/>
  <c r="G15" i="66"/>
  <c r="F12" i="60"/>
  <c r="F17" i="60"/>
  <c r="F18" i="60"/>
  <c r="F19" i="60"/>
  <c r="F11" i="60"/>
  <c r="G21" i="65"/>
  <c r="G26" i="65"/>
  <c r="G22" i="65"/>
  <c r="K28" i="65"/>
  <c r="L28" i="65" s="1"/>
  <c r="G11" i="64"/>
  <c r="K20" i="64"/>
  <c r="L20" i="64" s="1"/>
  <c r="K21" i="63"/>
  <c r="L21" i="63" s="1"/>
  <c r="G20" i="66" l="1"/>
  <c r="H20" i="66" s="1"/>
  <c r="G15" i="55"/>
  <c r="G21" i="55" s="1"/>
  <c r="G37" i="55"/>
  <c r="G18" i="55"/>
  <c r="G18" i="65"/>
  <c r="G49" i="55" l="1"/>
  <c r="H49" i="55" s="1"/>
  <c r="D10" i="59"/>
  <c r="D8" i="59"/>
  <c r="G11" i="62"/>
  <c r="F12" i="48"/>
  <c r="G12" i="48"/>
  <c r="D14" i="59" l="1"/>
  <c r="D28" i="61"/>
  <c r="D29" i="61" s="1"/>
  <c r="G29" i="61" s="1"/>
  <c r="D7" i="59"/>
  <c r="D34" i="58"/>
  <c r="D15" i="59" l="1"/>
  <c r="G16" i="62"/>
  <c r="G13" i="62"/>
  <c r="G14" i="62"/>
  <c r="K18" i="62"/>
  <c r="L18" i="62" s="1"/>
  <c r="G11" i="61"/>
  <c r="G24" i="61"/>
  <c r="G23" i="61"/>
  <c r="K17" i="61"/>
  <c r="L17" i="61" s="1"/>
  <c r="G11" i="48"/>
  <c r="F47" i="48"/>
  <c r="G47" i="48" s="1"/>
  <c r="F46" i="48"/>
  <c r="D46" i="48"/>
  <c r="F44" i="48"/>
  <c r="D44" i="48"/>
  <c r="D45" i="48" s="1"/>
  <c r="G45" i="48" s="1"/>
  <c r="F43" i="48"/>
  <c r="D43" i="48"/>
  <c r="D42" i="48"/>
  <c r="G42" i="48" s="1"/>
  <c r="D41" i="48"/>
  <c r="G41" i="48" s="1"/>
  <c r="D40" i="48"/>
  <c r="G40" i="48" s="1"/>
  <c r="G33" i="48"/>
  <c r="G24" i="48"/>
  <c r="G23" i="48"/>
  <c r="K17" i="48"/>
  <c r="L17" i="48" s="1"/>
  <c r="G16" i="48"/>
  <c r="F16" i="47"/>
  <c r="E31" i="47"/>
  <c r="D39" i="49"/>
  <c r="B39" i="49"/>
  <c r="F39" i="49" s="1"/>
  <c r="D37" i="49"/>
  <c r="D38" i="49" s="1"/>
  <c r="G38" i="49" s="1"/>
  <c r="D36" i="49"/>
  <c r="G36" i="49" s="1"/>
  <c r="D46" i="59"/>
  <c r="D48" i="59" s="1"/>
  <c r="E48" i="59" s="1"/>
  <c r="F31" i="47" l="1"/>
  <c r="F32" i="47" s="1"/>
  <c r="D24" i="47"/>
  <c r="D26" i="48"/>
  <c r="D56" i="48"/>
  <c r="H21" i="46"/>
  <c r="D22" i="61"/>
  <c r="G22" i="61" s="1"/>
  <c r="G10" i="61"/>
  <c r="G15" i="61"/>
  <c r="G10" i="62"/>
  <c r="G15" i="62"/>
  <c r="G17" i="62"/>
  <c r="F22" i="60"/>
  <c r="G46" i="48"/>
  <c r="G43" i="48"/>
  <c r="D39" i="48"/>
  <c r="G39" i="48" s="1"/>
  <c r="G22" i="48"/>
  <c r="G44" i="48"/>
  <c r="G25" i="48"/>
  <c r="G32" i="48"/>
  <c r="G10" i="48"/>
  <c r="G39" i="49"/>
  <c r="G37" i="49"/>
  <c r="E60" i="58"/>
  <c r="G22" i="60" l="1"/>
  <c r="H31" i="47"/>
  <c r="G14" i="61"/>
  <c r="D57" i="48"/>
  <c r="G56" i="48"/>
  <c r="G20" i="63"/>
  <c r="G17" i="63"/>
  <c r="D31" i="61"/>
  <c r="G31" i="61" s="1"/>
  <c r="D30" i="61"/>
  <c r="D27" i="48"/>
  <c r="G26" i="48"/>
  <c r="E62" i="58"/>
  <c r="G48" i="48"/>
  <c r="G40" i="49"/>
  <c r="J47" i="55"/>
  <c r="G17" i="61" l="1"/>
  <c r="G35" i="61" s="1"/>
  <c r="H35" i="61" s="1"/>
  <c r="G21" i="63"/>
  <c r="G23" i="63" s="1"/>
  <c r="G27" i="48"/>
  <c r="D31" i="48"/>
  <c r="G31" i="48" s="1"/>
  <c r="G30" i="61"/>
  <c r="G32" i="61" s="1"/>
  <c r="J25" i="61"/>
  <c r="J26" i="61" s="1"/>
  <c r="G57" i="48"/>
  <c r="D61" i="48"/>
  <c r="G61" i="48" s="1"/>
  <c r="G40" i="53"/>
  <c r="H40" i="53" s="1"/>
  <c r="H23" i="63" l="1"/>
  <c r="H26" i="63" s="1"/>
  <c r="H42" i="53"/>
  <c r="G38" i="61"/>
  <c r="H38" i="61" s="1"/>
  <c r="G64" i="48"/>
  <c r="G34" i="48"/>
  <c r="H50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17" i="47"/>
  <c r="G15" i="48" l="1"/>
  <c r="G30" i="49"/>
  <c r="D17" i="49"/>
  <c r="B17" i="49"/>
  <c r="G14" i="49"/>
  <c r="G12" i="62" l="1"/>
  <c r="G18" i="62" s="1"/>
  <c r="G20" i="62" s="1"/>
  <c r="F23" i="47"/>
  <c r="F22" i="47"/>
  <c r="F9" i="47"/>
  <c r="F11" i="47" s="1"/>
  <c r="D18" i="49"/>
  <c r="G18" i="49" s="1"/>
  <c r="D19" i="49"/>
  <c r="G19" i="49" s="1"/>
  <c r="G17" i="49"/>
  <c r="H20" i="62" l="1"/>
  <c r="H23" i="62" s="1"/>
  <c r="F24" i="47"/>
  <c r="F26" i="47" s="1"/>
  <c r="G21" i="49"/>
  <c r="G46" i="49" s="1"/>
  <c r="H46" i="49" s="1"/>
  <c r="G14" i="48" l="1"/>
  <c r="G17" i="48" s="1"/>
  <c r="G67" i="48" s="1"/>
  <c r="H11" i="36"/>
  <c r="H10" i="36"/>
  <c r="H9" i="36"/>
  <c r="H8" i="36"/>
  <c r="H7" i="36"/>
  <c r="H6" i="36"/>
  <c r="H12" i="36"/>
  <c r="H5" i="36"/>
  <c r="F25" i="47" l="1"/>
  <c r="F34" i="47" s="1"/>
  <c r="G20" i="51" l="1"/>
  <c r="B21" i="51" l="1"/>
  <c r="G21" i="51" s="1"/>
  <c r="J14" i="51" s="1"/>
  <c r="J20" i="51" s="1"/>
  <c r="G23" i="51" l="1"/>
  <c r="G13" i="64"/>
  <c r="G20" i="64" l="1"/>
  <c r="G22" i="64" s="1"/>
  <c r="H22" i="64" s="1"/>
  <c r="H24" i="64" s="1"/>
  <c r="G26" i="51"/>
  <c r="H26" i="51" l="1"/>
  <c r="H28" i="51" s="1"/>
  <c r="G12" i="65" l="1"/>
  <c r="G24" i="65"/>
  <c r="G28" i="65" l="1"/>
  <c r="G30" i="65" s="1"/>
  <c r="H30" i="65" s="1"/>
  <c r="J12" i="65"/>
  <c r="I10" i="65"/>
  <c r="H12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22B35023-1214-4758-8F71-24F26C3835FD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04A4BC28-69B7-4D0D-BBB8-CFA39BC2363A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8999B163-0D54-4D9A-AFC8-672EFEBDEC91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9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9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9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4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3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3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5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9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61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7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5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<sst xmlns="http://schemas.openxmlformats.org/spreadsheetml/2006/main" count="2522" uniqueCount="661">
  <si>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</si>
  <si>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</si>
  <si>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</si>
  <si>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</si>
  <si>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</si>
  <si>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</si>
  <si>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</si>
  <si>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</si>
  <si>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</si>
  <si>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</si>
  <si>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</si>
  <si>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</si>
  <si>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</si>
  <si>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</si>
  <si>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</si>
  <si>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</si>
  <si>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</si>
  <si>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</si>
  <si>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</si>
  <si>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</si>
  <si>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</si>
  <si>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</si>
  <si>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</si>
  <si>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</si>
  <si>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</si>
  <si>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</si>
  <si>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</si>
  <si>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</si>
  <si>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</si>
  <si>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</si>
  <si>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</si>
  <si>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</si>
  <si>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</si>
  <si>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</si>
  <si>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</si>
  <si>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</si>
  <si>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</si>
  <si>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</si>
  <si>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</si>
  <si>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</si>
  <si>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</si>
  <si>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</si>
  <si>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</si>
  <si>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</si>
  <si>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</si>
  <si>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</si>
  <si>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</si>
  <si>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</si>
  <si>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</si>
  <si>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</si>
  <si>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</si>
  <si>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</si>
  <si>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</si>
  <si>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</si>
  <si>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</si>
  <si>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</si>
  <si>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</si>
  <si>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</si>
  <si>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</si>
  <si>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</si>
  <si>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</si>
  <si>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</si>
  <si>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</si>
  <si>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</si>
  <si>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</si>
  <si>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</si>
  <si>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</si>
  <si>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</si>
  <si>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</si>
  <si>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</si>
  <si>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</si>
  <si>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</si>
  <si>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</si>
  <si>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</si>
  <si>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</si>
  <si>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</si>
  <si>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</si>
  <si>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</si>
  <si>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</si>
  <si>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</si>
  <si>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</si>
  <si>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</si>
  <si>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</si>
  <si>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</si>
  <si>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</si>
  <si>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</si>
  <si>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</si>
  <si>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</si>
  <si>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</si>
  <si>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</si>
  <si>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</si>
  <si>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</si>
  <si>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</si>
  <si>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</si>
  <si>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</si>
  <si>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</si>
  <si>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</si>
  <si>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</si>
  <si>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</si>
  <si>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</si>
  <si>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</si>
  <si>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</si>
  <si>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</si>
  <si>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</si>
  <si>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</si>
  <si>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</si>
  <si>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</si>
  <si>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</si>
  <si>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</si>
  <si>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</si>
  <si>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</si>
  <si>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</si>
  <si>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</si>
  <si>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</si>
  <si>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</si>
  <si>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</si>
  <si>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</si>
  <si>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</si>
  <si>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</si>
  <si>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</si>
  <si>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</si>
  <si>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</si>
  <si>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</si>
  <si>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</si>
  <si>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</si>
  <si>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</si>
  <si>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</si>
  <si>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</si>
  <si>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</si>
  <si>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</si>
  <si>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</si>
  <si>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</si>
  <si>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</si>
  <si>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</si>
  <si>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</si>
  <si>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</si>
  <si>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</si>
  <si>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</si>
  <si>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</si>
  <si>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</si>
  <si>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</si>
  <si>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</si>
  <si>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</si>
  <si>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</si>
  <si>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</si>
  <si>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</si>
  <si>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</si>
  <si>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</si>
  <si>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</si>
  <si>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</si>
  <si>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</si>
  <si>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</si>
  <si>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</si>
  <si>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</si>
  <si>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</si>
  <si>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</si>
  <si>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</si>
  <si>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</si>
  <si>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</si>
  <si>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</si>
  <si>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</si>
  <si>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</si>
  <si>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</si>
  <si>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</si>
  <si>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</si>
  <si>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</si>
  <si>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</si>
  <si>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</si>
  <si>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</si>
  <si>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</si>
  <si>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</si>
  <si>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</si>
  <si>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</si>
  <si>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</si>
  <si>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</si>
  <si>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</si>
  <si>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</si>
  <si>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</si>
  <si>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</si>
  <si>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</si>
  <si>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</si>
  <si>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</si>
  <si>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</si>
  <si>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</si>
  <si>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</si>
  <si>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</si>
  <si>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</si>
  <si>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</si>
  <si>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</si>
  <si>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</si>
  <si>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</si>
  <si>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</si>
  <si>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</si>
  <si>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</si>
  <si>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</si>
  <si>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</si>
  <si>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</si>
  <si>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</si>
  <si>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</si>
  <si>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</si>
  <si>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</si>
  <si>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</si>
  <si>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</si>
  <si>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VINILICO</t>
  </si>
  <si>
    <t>PAVER</t>
  </si>
  <si>
    <t>CERAMICA</t>
  </si>
  <si>
    <t>PORCELANATO</t>
  </si>
  <si>
    <t>TOTAL ACABAMENTOS</t>
  </si>
  <si>
    <t>Revestimentos de Parede</t>
  </si>
  <si>
    <t xml:space="preserve">m² </t>
  </si>
  <si>
    <t>Piscina</t>
  </si>
  <si>
    <t xml:space="preserve">Porcelanato </t>
  </si>
  <si>
    <t>ACABAMENTOS EM PISO E PAREDE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</si>
  <si>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</si>
  <si>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</si>
  <si>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</si>
  <si>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</si>
  <si>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</si>
  <si>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</si>
  <si>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</si>
  <si>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</si>
  <si>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</si>
  <si>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</si>
  <si>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</si>
  <si>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</si>
  <si>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</si>
  <si>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</si>
  <si>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</si>
  <si>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</si>
  <si>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</si>
  <si>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</si>
  <si>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</si>
  <si>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</si>
  <si>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</si>
  <si>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Gradil</t>
  </si>
  <si>
    <t>Guarda-corpo - vidro</t>
  </si>
  <si>
    <t>Serralherias</t>
  </si>
  <si>
    <t>PCF</t>
  </si>
  <si>
    <t>ESQUADRIAS</t>
  </si>
  <si>
    <t>TOTAL INSTALAÇÕES</t>
  </si>
  <si>
    <t>Instalações de Proteção e Aterramento - SPDA</t>
  </si>
  <si>
    <t>Instalações de GLP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</si>
  <si>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</si>
  <si>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</si>
  <si>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</si>
  <si>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</si>
  <si>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</si>
  <si>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</si>
  <si>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</si>
  <si>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</si>
  <si>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</si>
  <si>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</si>
  <si>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</si>
  <si>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</si>
  <si>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</si>
  <si>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</si>
  <si>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</si>
  <si>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</si>
  <si>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</si>
  <si>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</si>
  <si>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</si>
  <si>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</si>
  <si>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</si>
  <si>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</si>
  <si>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</si>
  <si>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</si>
  <si>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</si>
  <si>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</si>
  <si>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</si>
  <si>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</si>
  <si>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</si>
  <si>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</si>
  <si>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</si>
  <si>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</si>
  <si>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</si>
  <si>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</si>
  <si>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</si>
  <si>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</si>
  <si>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</si>
  <si>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</si>
  <si>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</si>
  <si>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</si>
  <si>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</si>
  <si>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</si>
  <si>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</si>
  <si>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</si>
  <si>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</si>
  <si>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</si>
  <si>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</si>
  <si>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</si>
  <si>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</si>
  <si>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</si>
  <si>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</si>
  <si>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</si>
  <si>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</si>
  <si>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</si>
  <si>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</si>
  <si>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</si>
  <si>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</si>
  <si>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</si>
  <si>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</si>
  <si>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</si>
  <si>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</si>
  <si>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</si>
  <si>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</si>
  <si>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</si>
  <si>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</si>
  <si>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</si>
  <si>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</si>
  <si>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</si>
  <si>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</si>
  <si>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</si>
  <si>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</si>
  <si>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</si>
  <si>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</si>
  <si>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</si>
  <si>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</si>
  <si>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</si>
  <si>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Escoramento</t>
  </si>
  <si>
    <t>Equipamentos para Sauna</t>
  </si>
  <si>
    <t>m / FORRO</t>
  </si>
  <si>
    <t>PINTURA INTERNA</t>
  </si>
  <si>
    <t>REVESTIMENTOS E ACABAMENTOS DE TETO</t>
  </si>
  <si>
    <t xml:space="preserve"> m² / AC</t>
  </si>
  <si>
    <t>Passarelas</t>
  </si>
  <si>
    <t>TELHADO</t>
  </si>
  <si>
    <t>Textura</t>
  </si>
  <si>
    <t>Equipamento d ecarro eletrico</t>
  </si>
  <si>
    <t>Corrimão inox</t>
  </si>
  <si>
    <t>Trataamento de esgoto</t>
  </si>
  <si>
    <t>CARPETE</t>
  </si>
  <si>
    <t>PISO ALISADO</t>
  </si>
  <si>
    <t>PISO RANHURADO</t>
  </si>
  <si>
    <t>DECK</t>
  </si>
  <si>
    <t>PASTILHA</t>
  </si>
  <si>
    <t>Polimento de concreto</t>
  </si>
  <si>
    <t>Ladrilho hidaraulico</t>
  </si>
  <si>
    <t>PISO ALISADO ESCADA</t>
  </si>
  <si>
    <t>Piso alisado</t>
  </si>
  <si>
    <t>TOTAL ESQUADRIAS</t>
  </si>
  <si>
    <t xml:space="preserve">un </t>
  </si>
  <si>
    <t>Emborrachado</t>
  </si>
  <si>
    <t>EMBORRACHADO</t>
  </si>
  <si>
    <t>Subestação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</si>
  <si>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</si>
  <si>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</si>
  <si>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</si>
  <si>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</si>
  <si>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</si>
  <si>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</si>
  <si>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</si>
  <si>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</si>
  <si>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</si>
  <si>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</si>
  <si>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Cristalizante (reservatorios)</t>
  </si>
  <si>
    <t>Churrasqueiras pré-moldadas</t>
  </si>
  <si>
    <t>R$</t>
  </si>
  <si>
    <t>Tratamento de frisos</t>
  </si>
  <si>
    <t>Corrimão metálico</t>
  </si>
  <si>
    <t>Fechadura biométrica</t>
  </si>
  <si>
    <t>SUPRAESTRUTURA - LAJE CUBETAS PROTENDIDAS</t>
  </si>
  <si>
    <t>Concreto (25 Mpa)</t>
  </si>
  <si>
    <t>Equipamentos para Espelho dagua</t>
  </si>
  <si>
    <t>LEVANTAMENTO QUANTITATIVO</t>
  </si>
  <si>
    <t>REVESTIMENTOS E ACABAMENTOS DE PISO</t>
  </si>
  <si>
    <t>LEVANTAMENTO DE PROJETO</t>
  </si>
  <si>
    <t>CONTRAPISO</t>
  </si>
  <si>
    <t>Pavimento</t>
  </si>
  <si>
    <t>Material</t>
  </si>
  <si>
    <t>Área (m²)</t>
  </si>
  <si>
    <t>Contrapiso (Sim/Não)</t>
  </si>
  <si>
    <t>Repetição</t>
  </si>
  <si>
    <t>Total</t>
  </si>
  <si>
    <t>Revestimento</t>
  </si>
  <si>
    <t>Área total</t>
  </si>
  <si>
    <t>Sim</t>
  </si>
  <si>
    <t>Não</t>
  </si>
  <si>
    <t>TÉRREO</t>
  </si>
  <si>
    <t>Local</t>
  </si>
  <si>
    <t>Piso</t>
  </si>
  <si>
    <t>Teto</t>
  </si>
  <si>
    <t>Equipamentos para Chafariz</t>
  </si>
  <si>
    <t>Porcelanato</t>
  </si>
  <si>
    <t>Gesso</t>
  </si>
  <si>
    <t>PISO</t>
  </si>
  <si>
    <t>TETO</t>
  </si>
  <si>
    <t>Forro acartonado</t>
  </si>
  <si>
    <t>Pergolados metalicos</t>
  </si>
  <si>
    <t>m2</t>
  </si>
  <si>
    <t>PELE DE VIDO</t>
  </si>
  <si>
    <t>area</t>
  </si>
  <si>
    <t xml:space="preserve">TERREO -2 </t>
  </si>
  <si>
    <t>TERREO -1</t>
  </si>
  <si>
    <t xml:space="preserve">SOBRELOJS -2 </t>
  </si>
  <si>
    <t>SOBRELOJS -1</t>
  </si>
  <si>
    <t>BRISE</t>
  </si>
  <si>
    <t>Estacionamento</t>
  </si>
  <si>
    <t>Brise de madeira</t>
  </si>
  <si>
    <t>Pele de vidro</t>
  </si>
  <si>
    <t xml:space="preserve">Estrutura metálica cobertura </t>
  </si>
  <si>
    <t>Moldura ACM metálica</t>
  </si>
  <si>
    <t>Playground</t>
  </si>
  <si>
    <t>R$ / m2</t>
  </si>
  <si>
    <t>Pergolados madeira</t>
  </si>
  <si>
    <t>Polido</t>
  </si>
  <si>
    <t>Irrigação, iluminação e mobiliário externo</t>
  </si>
  <si>
    <t>Forro madeira</t>
  </si>
  <si>
    <t>Hotel e Residencial Colline</t>
  </si>
  <si>
    <t>Colline - Miguel Pereira</t>
  </si>
  <si>
    <t>PLANTA SITUAÇÃO HOTEL COLLINE e PLANTA SITUACAO RESIDENCIAL COLLINE</t>
  </si>
  <si>
    <t>Hotel</t>
  </si>
  <si>
    <t>Residencial</t>
  </si>
  <si>
    <t>Quantidade Total</t>
  </si>
  <si>
    <t>6º AO 18º PAV. DIFERENCIADO TORRE I E II (X13)</t>
  </si>
  <si>
    <t>DUPLEX INFERIOR TORRE I E II</t>
  </si>
  <si>
    <t>DUPLEX SUPERIOR TORRE I E II</t>
  </si>
  <si>
    <t>INSPEÇÃO TORRE I E II</t>
  </si>
  <si>
    <t>CASA DE MÁQUINAS TORRE I E II</t>
  </si>
  <si>
    <t>CAIXA D'AGUA TORRE I E II</t>
  </si>
  <si>
    <t>Aterro</t>
  </si>
  <si>
    <t>"subsolo" na verdade aterrado na frente do terreno para rampas</t>
  </si>
  <si>
    <t>SUBSOLO / TERREO</t>
  </si>
  <si>
    <t>TÉRREO/ GARAGEM 1</t>
  </si>
  <si>
    <t>1º PAVIMENTO / GARAGEM 2</t>
  </si>
  <si>
    <t>2º PAVIMENTO / LAZER</t>
  </si>
  <si>
    <t>Quantidade de resumo</t>
  </si>
  <si>
    <t>Alvenaria externo</t>
  </si>
  <si>
    <t>Alvenaria escadas resistente á fogo (sical)</t>
  </si>
  <si>
    <t>Drywall</t>
  </si>
  <si>
    <t>Circulação</t>
  </si>
  <si>
    <t>Cozinha</t>
  </si>
  <si>
    <t>Cimentado</t>
  </si>
  <si>
    <t>Estuccamento</t>
  </si>
  <si>
    <t>Porcelanato AC</t>
  </si>
  <si>
    <t>Academia</t>
  </si>
  <si>
    <t>Vinilico</t>
  </si>
  <si>
    <t>Madeira</t>
  </si>
  <si>
    <t>Rampa de pedestre torre 1</t>
  </si>
  <si>
    <t>Acesso serviço torre 1</t>
  </si>
  <si>
    <t>Acesso social torre 1</t>
  </si>
  <si>
    <t>Estuccamento fachada</t>
  </si>
  <si>
    <t>Cicrulação serv</t>
  </si>
  <si>
    <t>Ciruculação social</t>
  </si>
  <si>
    <t>Hal social</t>
  </si>
  <si>
    <t>Gurarita</t>
  </si>
  <si>
    <t>Lavabo guarita</t>
  </si>
  <si>
    <t>Circ banheiros</t>
  </si>
  <si>
    <t>WC e lavabo</t>
  </si>
  <si>
    <t>Circ deposito</t>
  </si>
  <si>
    <t>Sala funcionarios</t>
  </si>
  <si>
    <t>BWC funcionarios</t>
  </si>
  <si>
    <t>Depositos</t>
  </si>
  <si>
    <t>Lixeira</t>
  </si>
  <si>
    <t>Gerador</t>
  </si>
  <si>
    <t>Trafo</t>
  </si>
  <si>
    <t>Gás</t>
  </si>
  <si>
    <t>Rampa veículos</t>
  </si>
  <si>
    <t>Rampa prox pav</t>
  </si>
  <si>
    <t xml:space="preserve">Sla comercial 1 </t>
  </si>
  <si>
    <t>Lavabo sala 1</t>
  </si>
  <si>
    <t>Sala comercial 2</t>
  </si>
  <si>
    <t>Lavabo sala 2</t>
  </si>
  <si>
    <t>Ladrilho hidraulico</t>
  </si>
  <si>
    <t>Lavabo sala 3</t>
  </si>
  <si>
    <t>Sla comercial 3</t>
  </si>
  <si>
    <t>GARAGEM 1</t>
  </si>
  <si>
    <t xml:space="preserve">Antecamara 1 </t>
  </si>
  <si>
    <t>Escada 1</t>
  </si>
  <si>
    <t>Antecamara 2</t>
  </si>
  <si>
    <t>Escada 2</t>
  </si>
  <si>
    <t>GARAGEM 2</t>
  </si>
  <si>
    <t>LAZER</t>
  </si>
  <si>
    <t>Circ solcial 1</t>
  </si>
  <si>
    <t>Rampa lounge</t>
  </si>
  <si>
    <t>Louge externo</t>
  </si>
  <si>
    <t>Sala de jogos</t>
  </si>
  <si>
    <t>Salão gourmet</t>
  </si>
  <si>
    <t>Salão de festas</t>
  </si>
  <si>
    <t>Rampa fogo</t>
  </si>
  <si>
    <t>Lounge e praça do fogo</t>
  </si>
  <si>
    <t>Fraldario</t>
  </si>
  <si>
    <t>Sanitarios</t>
  </si>
  <si>
    <t>Espaço zen</t>
  </si>
  <si>
    <t>Rampa zen</t>
  </si>
  <si>
    <t>Espaço piscinas aquecidas</t>
  </si>
  <si>
    <t>Piscina adulta</t>
  </si>
  <si>
    <t>Area piscina externa</t>
  </si>
  <si>
    <t>Hidro</t>
  </si>
  <si>
    <t>piscina adulta ext</t>
  </si>
  <si>
    <t>piscina infantil ext</t>
  </si>
  <si>
    <t>Vestiario e banho</t>
  </si>
  <si>
    <t xml:space="preserve">Sauna seca </t>
  </si>
  <si>
    <t>Sauna umida</t>
  </si>
  <si>
    <t>BWCs</t>
  </si>
  <si>
    <t>Espaço PET</t>
  </si>
  <si>
    <t>Piscina infantil</t>
  </si>
  <si>
    <t xml:space="preserve">Patilha </t>
  </si>
  <si>
    <t>Circ solcial 2</t>
  </si>
  <si>
    <t>Rampa playground</t>
  </si>
  <si>
    <t>Playgorind</t>
  </si>
  <si>
    <t>Brinquedoteca</t>
  </si>
  <si>
    <t>Rampa lounge ext</t>
  </si>
  <si>
    <t xml:space="preserve">Louge externo </t>
  </si>
  <si>
    <t xml:space="preserve">Sala de jogos </t>
  </si>
  <si>
    <t xml:space="preserve">Sala de massagem </t>
  </si>
  <si>
    <t>Bar da psicina</t>
  </si>
  <si>
    <t>Banheiros pisicina</t>
  </si>
  <si>
    <t>Banheiros int</t>
  </si>
  <si>
    <t>DIFERENCIADO</t>
  </si>
  <si>
    <t>DIFERENCIADO - 1</t>
  </si>
  <si>
    <t>Laje impermeabilizada</t>
  </si>
  <si>
    <t>Living</t>
  </si>
  <si>
    <t>Sacada</t>
  </si>
  <si>
    <t>Lavabo</t>
  </si>
  <si>
    <t>Suite</t>
  </si>
  <si>
    <t>BWC</t>
  </si>
  <si>
    <t>A tecnica</t>
  </si>
  <si>
    <t>Porcelanato AP</t>
  </si>
  <si>
    <t>DIFERENCIADO - 2</t>
  </si>
  <si>
    <t>TIPO</t>
  </si>
  <si>
    <t xml:space="preserve">Antecamara </t>
  </si>
  <si>
    <t xml:space="preserve">Escada </t>
  </si>
  <si>
    <t>DUPLEX INF</t>
  </si>
  <si>
    <t>Circ apto</t>
  </si>
  <si>
    <t>Escada</t>
  </si>
  <si>
    <t>Suite master</t>
  </si>
  <si>
    <t>Suites</t>
  </si>
  <si>
    <t>Sacada ext</t>
  </si>
  <si>
    <t>Area tecnica</t>
  </si>
  <si>
    <t>DUPLEX SUP</t>
  </si>
  <si>
    <t>A de serviço</t>
  </si>
  <si>
    <t>Deck externo</t>
  </si>
  <si>
    <t>Escada piscina</t>
  </si>
  <si>
    <t>Pastilha</t>
  </si>
  <si>
    <t>INSPEÇÃO</t>
  </si>
  <si>
    <t>Sotão</t>
  </si>
  <si>
    <t>Inspeção</t>
  </si>
  <si>
    <t>CASA DE MAQUINAS</t>
  </si>
  <si>
    <t>Elevador maquinas</t>
  </si>
  <si>
    <t>Casa de maquinas</t>
  </si>
  <si>
    <t>Balcão descoberto</t>
  </si>
  <si>
    <t>CS DAGUA</t>
  </si>
  <si>
    <t>Cx dagua</t>
  </si>
  <si>
    <t>SUBTELHADO / 5º PAV. DIFERENCIADO TORRE I E II (X1)</t>
  </si>
  <si>
    <t>RMP-FUN-EX-0002-TABELAS-R02</t>
  </si>
  <si>
    <t>Estaca Pre-moldada cravada 20X20</t>
  </si>
  <si>
    <t>Estaca Pre-moldada cravada 30X30</t>
  </si>
  <si>
    <t>Estaca Pre-moldada centrifugada 50cm</t>
  </si>
  <si>
    <t>Estaca Pre-moldada centrifugada 42cm</t>
  </si>
  <si>
    <t>2ST/90/ST+RU</t>
  </si>
  <si>
    <t>Mão de obra DRYWALL</t>
  </si>
  <si>
    <t>Isolamento</t>
  </si>
  <si>
    <t xml:space="preserve">R$ </t>
  </si>
  <si>
    <t>Porcelanato ac</t>
  </si>
  <si>
    <t>Piso vinilico - mat e mo</t>
  </si>
  <si>
    <t>Mármore</t>
  </si>
  <si>
    <t>Piso elevadores</t>
  </si>
  <si>
    <t>Carpete- mat e mo</t>
  </si>
  <si>
    <t>mo porcelanato</t>
  </si>
  <si>
    <t>mo pastilha</t>
  </si>
  <si>
    <t>Rodapés poliestireno</t>
  </si>
  <si>
    <t>Mo rodape</t>
  </si>
  <si>
    <t xml:space="preserve">Soleiras </t>
  </si>
  <si>
    <t>mo Soleiras</t>
  </si>
  <si>
    <t>peitoris</t>
  </si>
  <si>
    <t>ACAB PAREDE</t>
  </si>
  <si>
    <t>mo peitoris</t>
  </si>
  <si>
    <t>ACAB PISO</t>
  </si>
  <si>
    <t>Porcelanato ap</t>
  </si>
  <si>
    <t>Emborrachado - mat e mo</t>
  </si>
  <si>
    <t>mo pedra</t>
  </si>
  <si>
    <t>Madeira - mat e mo</t>
  </si>
  <si>
    <t>Rodapés porcelanato</t>
  </si>
  <si>
    <t>Forro com isolamento</t>
  </si>
  <si>
    <t>MO Estucamento</t>
  </si>
  <si>
    <t>MO Chapisco e reboco</t>
  </si>
  <si>
    <t>Apenas pintura de faixas</t>
  </si>
  <si>
    <t xml:space="preserve">mo Textura escadas </t>
  </si>
  <si>
    <t>Textura teto</t>
  </si>
  <si>
    <t>mo Textura teto</t>
  </si>
  <si>
    <t>Pintura Interna paredes</t>
  </si>
  <si>
    <t>Pintura Interna teto</t>
  </si>
  <si>
    <t>mo Pintura Interna teto</t>
  </si>
  <si>
    <t>MOPintura Interna paredes</t>
  </si>
  <si>
    <t>Lazer</t>
  </si>
  <si>
    <t>Corrimão escada de emergencia (metalico)</t>
  </si>
  <si>
    <t>Portas aluminio</t>
  </si>
  <si>
    <t>Contramarco</t>
  </si>
  <si>
    <t>mo Contramarco</t>
  </si>
  <si>
    <t>MO portas</t>
  </si>
  <si>
    <t>Composição de telhado ceramico (30%=16,7º) multiplicado por 3,35 para ter 56º de inclinação</t>
  </si>
  <si>
    <t>Telhamento Shingle</t>
  </si>
  <si>
    <t>Area inclinada</t>
  </si>
  <si>
    <t>Mo ocbertura</t>
  </si>
  <si>
    <t>Calçadas e Passeios</t>
  </si>
  <si>
    <t xml:space="preserve">Chapisco </t>
  </si>
  <si>
    <t>Pintura molduras</t>
  </si>
  <si>
    <t>Mão de obra textura</t>
  </si>
  <si>
    <t>Janelas curvas</t>
  </si>
  <si>
    <t xml:space="preserve">Beiral </t>
  </si>
  <si>
    <t xml:space="preserve">Detalhes unitarios </t>
  </si>
  <si>
    <t>Sinetes</t>
  </si>
  <si>
    <t>mo Detalhes e molduras</t>
  </si>
  <si>
    <t>Revestimento pilar</t>
  </si>
  <si>
    <t>Base pilar</t>
  </si>
  <si>
    <t>Detalhe portão</t>
  </si>
  <si>
    <t>peça que imita marmore</t>
  </si>
  <si>
    <t>mo Detalhe portão</t>
  </si>
  <si>
    <t>LOUÇAS E METAIS</t>
  </si>
  <si>
    <t>Louças</t>
  </si>
  <si>
    <t>Bacia</t>
  </si>
  <si>
    <t>Cuba</t>
  </si>
  <si>
    <t>Metais</t>
  </si>
  <si>
    <t>Bancadas, pias e divisórias</t>
  </si>
  <si>
    <t>Hidrometro</t>
  </si>
  <si>
    <t>Acumulador (boiler) 2500L</t>
  </si>
  <si>
    <t>Bombas de pressurização</t>
  </si>
  <si>
    <t>agua fria</t>
  </si>
  <si>
    <t>agua quente e fria</t>
  </si>
  <si>
    <t>Bombas de reclque</t>
  </si>
  <si>
    <t>Estação redutora de pressão</t>
  </si>
  <si>
    <t>Instalações Preventivas - hidrantes</t>
  </si>
  <si>
    <t xml:space="preserve">Bombas </t>
  </si>
  <si>
    <t>Instalações Preventivas -sinalização</t>
  </si>
  <si>
    <t>Instalações Preventivas - alarme</t>
  </si>
  <si>
    <t>Mão de obra preventivo</t>
  </si>
  <si>
    <t>Mão de obra glp</t>
  </si>
  <si>
    <t>25 PARADAS</t>
  </si>
  <si>
    <t>Exaustão garagem</t>
  </si>
  <si>
    <t>VAE?</t>
  </si>
  <si>
    <t>9mil btu</t>
  </si>
  <si>
    <t>G1</t>
  </si>
  <si>
    <t>G2</t>
  </si>
  <si>
    <t>30mil btu</t>
  </si>
  <si>
    <t>1 DE 9mil btu</t>
  </si>
  <si>
    <t>Instalação de Ar Condicionado split</t>
  </si>
  <si>
    <t>Instalação de Ar Condicionado cassete</t>
  </si>
  <si>
    <t>TIPO DIF</t>
  </si>
  <si>
    <t>TIPO (X13)</t>
  </si>
  <si>
    <t>Coifa</t>
  </si>
  <si>
    <t>D INF</t>
  </si>
  <si>
    <t>D SUP</t>
  </si>
  <si>
    <t>Hidromassagem</t>
  </si>
  <si>
    <t>Pontos de hidro</t>
  </si>
  <si>
    <t>Equipamentos para Piscina privativa</t>
  </si>
  <si>
    <t>Pontos de hidro provativa</t>
  </si>
  <si>
    <t>Quadra poliesportiva</t>
  </si>
  <si>
    <t>Pet place</t>
  </si>
  <si>
    <t>Chapisco e reboco molduras (pilares e paredes)</t>
  </si>
  <si>
    <t>mo Chapisco e reboco molduras (pilares e paredes)</t>
  </si>
  <si>
    <t>Pintura pilares e paredes</t>
  </si>
  <si>
    <t>Mão de obra pintura molduras</t>
  </si>
  <si>
    <t>Mão de obra pintura pilares e paredes</t>
  </si>
  <si>
    <t>Aquciemento de piso</t>
  </si>
  <si>
    <t>mo reboco</t>
  </si>
  <si>
    <t>mo Contrapiso</t>
  </si>
  <si>
    <t>Esquadrias de PVC</t>
  </si>
  <si>
    <t>Esquadrias de PVC arredondadas</t>
  </si>
  <si>
    <t>Elevadores sociais</t>
  </si>
  <si>
    <t>Molduras</t>
  </si>
  <si>
    <t xml:space="preserve">mo Porcelanato  teto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</si>
</sst>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i/>
      <sz val="8"/>
      <color rgb="FF121212"/>
      <name val="Poppi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color rgb="FFFF0000"/>
      <name val="Poppins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8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8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43" fontId="7" fillId="2" borderId="80" xfId="1" applyFont="1" applyFill="1" applyBorder="1" applyAlignment="1">
      <alignment horizontal="center" vertical="center" wrapText="1"/>
    </xf>
    <xf numFmtId="43" fontId="7" fillId="2" borderId="81" xfId="1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horizontal="center" vertical="center" wrapText="1"/>
    </xf>
    <xf numFmtId="43" fontId="38" fillId="2" borderId="5" xfId="1" applyFont="1" applyFill="1" applyBorder="1" applyAlignment="1">
      <alignment horizontal="center" vertical="center" wrapText="1"/>
    </xf>
    <xf numFmtId="43" fontId="38" fillId="2" borderId="13" xfId="1" applyFont="1" applyFill="1" applyBorder="1" applyAlignment="1">
      <alignment vertical="center" wrapText="1"/>
    </xf>
    <xf numFmtId="0" fontId="38" fillId="2" borderId="25" xfId="0" applyFont="1" applyFill="1" applyBorder="1" applyAlignment="1">
      <alignment horizontal="right" vertical="center" wrapText="1"/>
    </xf>
    <xf numFmtId="44" fontId="10" fillId="0" borderId="1" xfId="10" applyFont="1" applyFill="1" applyBorder="1" applyAlignment="1">
      <alignment horizontal="left" vertical="center" wrapText="1"/>
    </xf>
    <xf numFmtId="43" fontId="26" fillId="5" borderId="0" xfId="0" applyNumberFormat="1" applyFont="1" applyFill="1" applyAlignment="1">
      <alignment vertical="center"/>
    </xf>
    <xf numFmtId="0" fontId="9" fillId="12" borderId="83" xfId="0" applyFont="1" applyFill="1" applyBorder="1" applyAlignment="1">
      <alignment vertical="center" wrapText="1"/>
    </xf>
    <xf numFmtId="0" fontId="39" fillId="0" borderId="84" xfId="0" applyFont="1" applyBorder="1"/>
    <xf numFmtId="0" fontId="39" fillId="0" borderId="85" xfId="0" applyFont="1" applyBorder="1"/>
    <xf numFmtId="0" fontId="16" fillId="13" borderId="86" xfId="0" applyFont="1" applyFill="1" applyBorder="1" applyAlignment="1">
      <alignment horizontal="left" vertical="center" wrapText="1"/>
    </xf>
    <xf numFmtId="0" fontId="39" fillId="13" borderId="86" xfId="0" applyFont="1" applyFill="1" applyBorder="1"/>
    <xf numFmtId="167" fontId="39" fillId="13" borderId="86" xfId="0" applyNumberFormat="1" applyFont="1" applyFill="1" applyBorder="1"/>
    <xf numFmtId="0" fontId="39" fillId="13" borderId="87" xfId="0" applyFont="1" applyFill="1" applyBorder="1"/>
    <xf numFmtId="0" fontId="9" fillId="12" borderId="88" xfId="0" applyFont="1" applyFill="1" applyBorder="1" applyAlignment="1">
      <alignment vertical="center" wrapText="1"/>
    </xf>
    <xf numFmtId="0" fontId="39" fillId="0" borderId="61" xfId="0" applyFont="1" applyBorder="1"/>
    <xf numFmtId="0" fontId="39" fillId="0" borderId="64" xfId="0" applyFont="1" applyBorder="1"/>
    <xf numFmtId="0" fontId="16" fillId="13" borderId="64" xfId="0" applyFont="1" applyFill="1" applyBorder="1" applyAlignment="1">
      <alignment horizontal="left" vertical="center" wrapText="1"/>
    </xf>
    <xf numFmtId="0" fontId="39" fillId="13" borderId="64" xfId="0" applyFont="1" applyFill="1" applyBorder="1"/>
    <xf numFmtId="167" fontId="39" fillId="13" borderId="64" xfId="0" applyNumberFormat="1" applyFont="1" applyFill="1" applyBorder="1"/>
    <xf numFmtId="0" fontId="39" fillId="13" borderId="89" xfId="0" applyFont="1" applyFill="1" applyBorder="1"/>
    <xf numFmtId="0" fontId="9" fillId="12" borderId="90" xfId="0" applyFont="1" applyFill="1" applyBorder="1" applyAlignment="1">
      <alignment vertical="center" wrapText="1"/>
    </xf>
    <xf numFmtId="0" fontId="39" fillId="0" borderId="91" xfId="0" applyFont="1" applyBorder="1"/>
    <xf numFmtId="0" fontId="39" fillId="0" borderId="92" xfId="0" applyFont="1" applyBorder="1"/>
    <xf numFmtId="0" fontId="39" fillId="13" borderId="92" xfId="0" applyFont="1" applyFill="1" applyBorder="1"/>
    <xf numFmtId="167" fontId="39" fillId="13" borderId="92" xfId="0" applyNumberFormat="1" applyFont="1" applyFill="1" applyBorder="1"/>
    <xf numFmtId="0" fontId="39" fillId="13" borderId="93" xfId="0" applyFont="1" applyFill="1" applyBorder="1"/>
    <xf numFmtId="0" fontId="39" fillId="13" borderId="0" xfId="0" applyFont="1" applyFill="1"/>
    <xf numFmtId="167" fontId="39" fillId="13" borderId="0" xfId="0" applyNumberFormat="1" applyFont="1" applyFill="1"/>
    <xf numFmtId="0" fontId="39" fillId="13" borderId="94" xfId="0" applyFont="1" applyFill="1" applyBorder="1"/>
    <xf numFmtId="0" fontId="5" fillId="17" borderId="100" xfId="0" applyFont="1" applyFill="1" applyBorder="1" applyAlignment="1">
      <alignment horizontal="center" vertical="center"/>
    </xf>
    <xf numFmtId="0" fontId="5" fillId="17" borderId="101" xfId="0" applyFont="1" applyFill="1" applyBorder="1" applyAlignment="1">
      <alignment horizontal="center" vertical="center"/>
    </xf>
    <xf numFmtId="0" fontId="5" fillId="17" borderId="102" xfId="0" applyFont="1" applyFill="1" applyBorder="1" applyAlignment="1">
      <alignment horizontal="center" vertical="center"/>
    </xf>
    <xf numFmtId="167" fontId="5" fillId="17" borderId="102" xfId="0" applyNumberFormat="1" applyFont="1" applyFill="1" applyBorder="1" applyAlignment="1">
      <alignment horizontal="center" vertical="center"/>
    </xf>
    <xf numFmtId="0" fontId="5" fillId="17" borderId="103" xfId="0" applyFont="1" applyFill="1" applyBorder="1" applyAlignment="1">
      <alignment horizontal="center"/>
    </xf>
    <xf numFmtId="167" fontId="5" fillId="17" borderId="104" xfId="0" applyNumberFormat="1" applyFont="1" applyFill="1" applyBorder="1" applyAlignment="1">
      <alignment horizontal="center" vertical="center"/>
    </xf>
    <xf numFmtId="167" fontId="5" fillId="17" borderId="105" xfId="0" applyNumberFormat="1" applyFont="1" applyFill="1" applyBorder="1" applyAlignment="1">
      <alignment horizontal="center" vertical="center"/>
    </xf>
    <xf numFmtId="0" fontId="5" fillId="17" borderId="106" xfId="0" applyFont="1" applyFill="1" applyBorder="1" applyAlignment="1">
      <alignment horizontal="center" vertical="center"/>
    </xf>
    <xf numFmtId="0" fontId="5" fillId="17" borderId="107" xfId="0" applyFont="1" applyFill="1" applyBorder="1" applyAlignment="1">
      <alignment horizontal="center" vertical="center"/>
    </xf>
    <xf numFmtId="167" fontId="39" fillId="12" borderId="91" xfId="0" applyNumberFormat="1" applyFont="1" applyFill="1" applyBorder="1"/>
    <xf numFmtId="167" fontId="39" fillId="0" borderId="108" xfId="0" applyNumberFormat="1" applyFont="1" applyBorder="1"/>
    <xf numFmtId="167" fontId="39" fillId="0" borderId="109" xfId="0" applyNumberFormat="1" applyFont="1" applyBorder="1"/>
    <xf numFmtId="0" fontId="39" fillId="0" borderId="110" xfId="0" applyFont="1" applyBorder="1"/>
    <xf numFmtId="4" fontId="39" fillId="0" borderId="111" xfId="0" applyNumberFormat="1" applyFont="1" applyBorder="1"/>
    <xf numFmtId="0" fontId="39" fillId="12" borderId="112" xfId="0" applyFont="1" applyFill="1" applyBorder="1"/>
    <xf numFmtId="0" fontId="39" fillId="12" borderId="113" xfId="0" applyFont="1" applyFill="1" applyBorder="1"/>
    <xf numFmtId="0" fontId="39" fillId="12" borderId="114" xfId="0" applyFont="1" applyFill="1" applyBorder="1"/>
    <xf numFmtId="167" fontId="39" fillId="12" borderId="114" xfId="0" applyNumberFormat="1" applyFont="1" applyFill="1" applyBorder="1"/>
    <xf numFmtId="0" fontId="39" fillId="12" borderId="115" xfId="0" applyFont="1" applyFill="1" applyBorder="1"/>
    <xf numFmtId="167" fontId="39" fillId="0" borderId="116" xfId="0" applyNumberFormat="1" applyFont="1" applyBorder="1"/>
    <xf numFmtId="167" fontId="39" fillId="0" borderId="117" xfId="0" applyNumberFormat="1" applyFont="1" applyBorder="1"/>
    <xf numFmtId="0" fontId="39" fillId="0" borderId="118" xfId="0" applyFont="1" applyBorder="1"/>
    <xf numFmtId="4" fontId="39" fillId="0" borderId="119" xfId="0" applyNumberFormat="1" applyFont="1" applyBorder="1"/>
    <xf numFmtId="0" fontId="39" fillId="0" borderId="120" xfId="0" applyFont="1" applyBorder="1"/>
    <xf numFmtId="167" fontId="39" fillId="0" borderId="120" xfId="0" applyNumberFormat="1" applyFont="1" applyBorder="1"/>
    <xf numFmtId="167" fontId="5" fillId="17" borderId="121" xfId="0" applyNumberFormat="1" applyFont="1" applyFill="1" applyBorder="1" applyAlignment="1">
      <alignment horizontal="center" vertical="center"/>
    </xf>
    <xf numFmtId="167" fontId="39" fillId="0" borderId="122" xfId="0" applyNumberFormat="1" applyFont="1" applyBorder="1"/>
    <xf numFmtId="167" fontId="39" fillId="0" borderId="111" xfId="0" applyNumberFormat="1" applyFont="1" applyBorder="1"/>
    <xf numFmtId="167" fontId="39" fillId="0" borderId="110" xfId="0" applyNumberFormat="1" applyFont="1" applyBorder="1"/>
    <xf numFmtId="0" fontId="39" fillId="0" borderId="123" xfId="0" applyFont="1" applyBorder="1"/>
    <xf numFmtId="167" fontId="39" fillId="0" borderId="124" xfId="0" applyNumberFormat="1" applyFont="1" applyBorder="1"/>
    <xf numFmtId="167" fontId="39" fillId="0" borderId="115" xfId="0" applyNumberFormat="1" applyFont="1" applyBorder="1"/>
    <xf numFmtId="167" fontId="39" fillId="0" borderId="125" xfId="0" applyNumberFormat="1" applyFont="1" applyBorder="1"/>
    <xf numFmtId="167" fontId="39" fillId="0" borderId="0" xfId="0" applyNumberFormat="1" applyFont="1"/>
    <xf numFmtId="0" fontId="39" fillId="12" borderId="126" xfId="0" applyFont="1" applyFill="1" applyBorder="1"/>
    <xf numFmtId="0" fontId="39" fillId="12" borderId="127" xfId="0" applyFont="1" applyFill="1" applyBorder="1"/>
    <xf numFmtId="0" fontId="39" fillId="12" borderId="128" xfId="0" applyFont="1" applyFill="1" applyBorder="1"/>
    <xf numFmtId="167" fontId="39" fillId="12" borderId="128" xfId="0" applyNumberFormat="1" applyFont="1" applyFill="1" applyBorder="1"/>
    <xf numFmtId="0" fontId="39" fillId="12" borderId="129" xfId="0" applyFont="1" applyFill="1" applyBorder="1"/>
    <xf numFmtId="167" fontId="39" fillId="0" borderId="129" xfId="0" applyNumberFormat="1" applyFont="1" applyBorder="1"/>
    <xf numFmtId="43" fontId="38" fillId="2" borderId="81" xfId="1" applyFont="1" applyFill="1" applyBorder="1" applyAlignment="1">
      <alignment horizontal="center" vertical="center" wrapText="1"/>
    </xf>
    <xf numFmtId="0" fontId="42" fillId="2" borderId="25" xfId="0" applyFont="1" applyFill="1" applyBorder="1" applyAlignment="1">
      <alignment vertical="center" wrapText="1"/>
    </xf>
    <xf numFmtId="0" fontId="6" fillId="2" borderId="78" xfId="0" applyFont="1" applyFill="1" applyBorder="1" applyAlignment="1">
      <alignment horizontal="left" vertical="center"/>
    </xf>
    <xf numFmtId="44" fontId="37" fillId="0" borderId="1" xfId="10" applyFont="1" applyBorder="1" applyAlignment="1">
      <alignment horizontal="left" vertical="center" wrapText="1"/>
    </xf>
    <xf numFmtId="0" fontId="39" fillId="0" borderId="0" xfId="0" applyFont="1"/>
    <xf numFmtId="0" fontId="39" fillId="12" borderId="103" xfId="0" applyFont="1" applyFill="1" applyBorder="1"/>
    <xf numFmtId="44" fontId="37" fillId="0" borderId="1" xfId="10" applyFont="1" applyFill="1" applyBorder="1" applyAlignment="1">
      <alignment horizontal="left" vertical="center" wrapText="1"/>
    </xf>
    <xf numFmtId="44" fontId="26" fillId="0" borderId="1" xfId="10" applyFont="1" applyBorder="1" applyAlignment="1">
      <alignment horizontal="left" vertical="center" wrapText="1"/>
    </xf>
    <xf numFmtId="44" fontId="10" fillId="18" borderId="1" xfId="10" applyFont="1" applyFill="1" applyBorder="1" applyAlignment="1">
      <alignment horizontal="left" vertical="center" wrapText="1"/>
    </xf>
    <xf numFmtId="44" fontId="3" fillId="0" borderId="0" xfId="10" applyFont="1" applyAlignment="1">
      <alignment vertical="center"/>
    </xf>
    <xf numFmtId="0" fontId="18" fillId="19" borderId="0" xfId="0" applyFont="1" applyFill="1" applyAlignment="1">
      <alignment vertical="center"/>
    </xf>
    <xf numFmtId="44" fontId="10" fillId="18" borderId="1" xfId="10" applyFont="1" applyFill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43" fontId="3" fillId="0" borderId="43" xfId="1" applyFont="1" applyFill="1" applyBorder="1" applyAlignment="1">
      <alignment horizontal="center" vertical="center" wrapText="1"/>
    </xf>
    <xf numFmtId="2" fontId="3" fillId="0" borderId="43" xfId="1" applyNumberFormat="1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vertical="center" wrapText="1"/>
    </xf>
    <xf numFmtId="43" fontId="19" fillId="0" borderId="0" xfId="0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167" fontId="41" fillId="16" borderId="95" xfId="0" applyNumberFormat="1" applyFont="1" applyFill="1" applyBorder="1" applyAlignment="1">
      <alignment horizontal="center"/>
    </xf>
    <xf numFmtId="0" fontId="40" fillId="0" borderId="97" xfId="0" applyFont="1" applyBorder="1"/>
    <xf numFmtId="0" fontId="11" fillId="14" borderId="93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94" xfId="0" applyFont="1" applyBorder="1"/>
    <xf numFmtId="0" fontId="11" fillId="15" borderId="93" xfId="0" applyFont="1" applyFill="1" applyBorder="1" applyAlignment="1">
      <alignment horizontal="center" vertical="center" wrapText="1"/>
    </xf>
    <xf numFmtId="0" fontId="41" fillId="16" borderId="95" xfId="0" applyFont="1" applyFill="1" applyBorder="1" applyAlignment="1">
      <alignment horizontal="center"/>
    </xf>
    <xf numFmtId="0" fontId="41" fillId="16" borderId="96" xfId="0" applyFont="1" applyFill="1" applyBorder="1" applyAlignment="1">
      <alignment horizontal="center"/>
    </xf>
    <xf numFmtId="0" fontId="40" fillId="0" borderId="96" xfId="0" applyFont="1" applyBorder="1"/>
    <xf numFmtId="0" fontId="41" fillId="16" borderId="98" xfId="0" applyFont="1" applyFill="1" applyBorder="1" applyAlignment="1">
      <alignment horizontal="center"/>
    </xf>
    <xf numFmtId="0" fontId="40" fillId="0" borderId="99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130" xfId="0" applyFont="1" applyFill="1" applyBorder="1" applyAlignment="1">
      <alignment horizontal="center" vertical="center" wrapText="1"/>
    </xf>
    <xf numFmtId="0" fontId="28" fillId="10" borderId="32" xfId="0" applyFont="1" applyFill="1" applyBorder="1" applyAlignment="1">
      <alignment horizontal="center" vertical="center" wrapText="1"/>
    </xf>
    <xf numFmtId="0" fontId="28" fillId="10" borderId="31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3" fontId="10" fillId="0" borderId="1" xfId="1" applyNumberFormat="1" applyFont="1" applyBorder="1" applyAlignment="1">
      <alignment vertical="center" wrapText="1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97595</xdr:colOff>
      <xdr:row>0</xdr:row>
      <xdr:rowOff>225491</xdr:rowOff>
    </xdr:from>
    <xdr:to>
      <xdr:col>8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16</xdr:col>
      <xdr:colOff>110452</xdr:colOff>
      <xdr:row>12</xdr:row>
      <xdr:rowOff>1508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415EDA-5C83-44AB-B6B5-C8ED3676B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1102" y="2177143"/>
          <a:ext cx="4945225" cy="1914283"/>
        </a:xfrm>
        <a:prstGeom prst="rect">
          <a:avLst/>
        </a:prstGeom>
      </xdr:spPr>
    </xdr:pic>
    <xdr:clientData/>
  </xdr:twoCellAnchor>
  <xdr:twoCellAnchor editAs="oneCell">
    <xdr:from>
      <xdr:col>7</xdr:col>
      <xdr:colOff>524926</xdr:colOff>
      <xdr:row>11</xdr:row>
      <xdr:rowOff>268178</xdr:rowOff>
    </xdr:from>
    <xdr:to>
      <xdr:col>23</xdr:col>
      <xdr:colOff>499538</xdr:colOff>
      <xdr:row>17</xdr:row>
      <xdr:rowOff>110133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881751-3885-4822-9632-31D121C4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9538" y="4358096"/>
          <a:ext cx="9680354" cy="1758852"/>
        </a:xfrm>
        <a:prstGeom prst="rect">
          <a:avLst/>
        </a:prstGeom>
      </xdr:spPr>
    </xdr:pic>
    <xdr:clientData/>
  </xdr:twoCellAnchor>
  <xdr:twoCellAnchor editAs="oneCell">
    <xdr:from>
      <xdr:col>16</xdr:col>
      <xdr:colOff>342123</xdr:colOff>
      <xdr:row>7</xdr:row>
      <xdr:rowOff>38707</xdr:rowOff>
    </xdr:from>
    <xdr:to>
      <xdr:col>29</xdr:col>
      <xdr:colOff>376765</xdr:colOff>
      <xdr:row>12</xdr:row>
      <xdr:rowOff>36170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B6E092-0405-4375-B3BD-1B08CBCB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65143" y="2215850"/>
          <a:ext cx="7907580" cy="1910238"/>
        </a:xfrm>
        <a:prstGeom prst="rect">
          <a:avLst/>
        </a:prstGeom>
      </xdr:spPr>
    </xdr:pic>
    <xdr:clientData/>
  </xdr:twoCellAnchor>
  <xdr:twoCellAnchor editAs="oneCell">
    <xdr:from>
      <xdr:col>9</xdr:col>
      <xdr:colOff>73932</xdr:colOff>
      <xdr:row>18</xdr:row>
      <xdr:rowOff>64770</xdr:rowOff>
    </xdr:from>
    <xdr:to>
      <xdr:col>16</xdr:col>
      <xdr:colOff>109575</xdr:colOff>
      <xdr:row>29</xdr:row>
      <xdr:rowOff>229467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FBE65C0-87F0-44AA-BF92-8501DA60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2582" y="6303645"/>
          <a:ext cx="4297128" cy="37651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9</xdr:row>
      <xdr:rowOff>116205</xdr:rowOff>
    </xdr:from>
    <xdr:to>
      <xdr:col>16</xdr:col>
      <xdr:colOff>156900</xdr:colOff>
      <xdr:row>24</xdr:row>
      <xdr:rowOff>187259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3EEA30-817D-49DF-976D-38A2D0BDF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9775" y="2459355"/>
          <a:ext cx="4938450" cy="4090604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36</xdr:row>
      <xdr:rowOff>34289</xdr:rowOff>
    </xdr:from>
    <xdr:to>
      <xdr:col>7</xdr:col>
      <xdr:colOff>2709676</xdr:colOff>
      <xdr:row>44</xdr:row>
      <xdr:rowOff>112394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B15ED4-48FF-3B87-5067-91644E37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9768839"/>
          <a:ext cx="10264906" cy="16021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1295401</xdr:colOff>
      <xdr:row>68</xdr:row>
      <xdr:rowOff>150495</xdr:rowOff>
    </xdr:from>
    <xdr:to>
      <xdr:col>7</xdr:col>
      <xdr:colOff>2738578</xdr:colOff>
      <xdr:row>89</xdr:row>
      <xdr:rowOff>187550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384DBE-3AE5-798D-5F8F-40817F32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1" y="6551295"/>
          <a:ext cx="3226257" cy="4028030"/>
        </a:xfrm>
        <a:prstGeom prst="rect">
          <a:avLst/>
        </a:prstGeom>
      </xdr:spPr>
    </xdr:pic>
    <xdr:clientData/>
  </xdr:twoCellAnchor>
  <xdr:twoCellAnchor editAs="oneCell">
    <xdr:from>
      <xdr:col>2</xdr:col>
      <xdr:colOff>1123950</xdr:colOff>
      <xdr:row>69</xdr:row>
      <xdr:rowOff>76200</xdr:rowOff>
    </xdr:from>
    <xdr:to>
      <xdr:col>6</xdr:col>
      <xdr:colOff>917008</xdr:colOff>
      <xdr:row>103</xdr:row>
      <xdr:rowOff>77104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2D260D-4ACA-47D0-63FE-2C151C4F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5025" y="6667500"/>
          <a:ext cx="5041333" cy="64779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D485983B-B204-4355-8DC9-58C1C4124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25775" y="25717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1.%20Diretos\CTN-COLLINE%20%20-%20Gerenciamento%20HOTEL%20-%20R00.xlsx" TargetMode="External"/><Relationship Id="rId1" Type="http://schemas.openxmlformats.org/officeDocument/2006/relationships/externalLinkPath" Target="CTN-COLLINE%20%20-%20Gerenciamento%20HOTEL%20-%20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tri\Downloads\quantitativos_completos.xlsx" TargetMode="External"/><Relationship Id="rId1" Type="http://schemas.openxmlformats.org/officeDocument/2006/relationships/externalLinkPath" Target="file:///C:\Users\patri\Downloads\quantitativos_comple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 (2)"/>
      <sheetName val="INFRAESTRUTURA"/>
      <sheetName val="SUPRAESTRUTURA"/>
      <sheetName val="ALVENARIA"/>
      <sheetName val="INSTALAÇÕES"/>
      <sheetName val="SISTEMAS ESPECIAIS"/>
      <sheetName val="IMPERMEABILIZAÇÃO"/>
      <sheetName val="Planilha1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Planilha2"/>
      <sheetName val="Auxiliar"/>
    </sheetNames>
    <sheetDataSet>
      <sheetData sheetId="0">
        <row r="36">
          <cell r="E36">
            <v>2087.2800000000002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5">
          <cell r="B15">
            <v>210</v>
          </cell>
        </row>
      </sheetData>
      <sheetData sheetId="6" refreshError="1"/>
      <sheetData sheetId="7" refreshError="1"/>
      <sheetData sheetId="8" refreshError="1"/>
      <sheetData sheetId="9">
        <row r="11">
          <cell r="D11">
            <v>60.307499999999997</v>
          </cell>
        </row>
      </sheetData>
      <sheetData sheetId="10" refreshError="1"/>
      <sheetData sheetId="11"/>
      <sheetData sheetId="12">
        <row r="28">
          <cell r="G28">
            <v>990621.09358520003</v>
          </cell>
        </row>
      </sheetData>
      <sheetData sheetId="13">
        <row r="10">
          <cell r="D10">
            <v>3075.42</v>
          </cell>
        </row>
      </sheetData>
      <sheetData sheetId="14">
        <row r="15">
          <cell r="B15">
            <v>1186.4200000000003</v>
          </cell>
        </row>
        <row r="36">
          <cell r="D36">
            <v>210</v>
          </cell>
        </row>
      </sheetData>
      <sheetData sheetId="15" refreshError="1"/>
      <sheetData sheetId="16" refreshError="1"/>
      <sheetData sheetId="17" refreshError="1"/>
      <sheetData sheetId="18">
        <row r="53">
          <cell r="G53">
            <v>1254677.6685917224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2">
          <cell r="C92">
            <v>5653.8300000000008</v>
          </cell>
          <cell r="D92">
            <v>42358.44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I39"/>
  <sheetViews>
    <sheetView view="pageBreakPreview" topLeftCell="B1" zoomScale="115" zoomScaleNormal="115" zoomScaleSheetLayoutView="115" workbookViewId="0">
      <selection activeCell="B26" sqref="B26:F26"/>
    </sheetView>
  </sheetViews>
  <sheetFormatPr defaultRowHeight="21.75" x14ac:dyDescent="0.6"/>
  <cols>
    <col min="1" max="1" width="19.140625" style="41" customWidth="1"/>
    <col min="2" max="2" width="43.85546875" style="42" customWidth="1"/>
    <col min="3" max="6" width="11.28515625" style="42" customWidth="1"/>
    <col min="7" max="7" width="11.28515625" style="43" customWidth="1"/>
    <col min="8" max="8" width="11.140625" style="44" customWidth="1"/>
    <col min="9" max="9" width="24" style="41" customWidth="1"/>
    <col min="10" max="11" width="9.28515625" bestFit="1" customWidth="1"/>
  </cols>
  <sheetData>
    <row r="1" spans="1:9" ht="18" customHeight="1" x14ac:dyDescent="0.6">
      <c r="A1" s="4" t="s">
        <v>0</v>
      </c>
      <c r="B1" s="5" t="s">
        <v>407</v>
      </c>
      <c r="C1" s="6"/>
      <c r="D1" s="6"/>
      <c r="E1" s="6"/>
      <c r="F1" s="6"/>
      <c r="G1" s="7"/>
      <c r="H1" s="8"/>
      <c r="I1" s="9"/>
    </row>
    <row r="2" spans="1:9" ht="18" customHeight="1" x14ac:dyDescent="0.6">
      <c r="A2" s="10" t="s">
        <v>117</v>
      </c>
      <c r="B2" s="11" t="s">
        <v>408</v>
      </c>
      <c r="C2" s="12"/>
      <c r="D2" s="12"/>
      <c r="E2" s="12"/>
      <c r="F2" s="12"/>
      <c r="G2" s="13"/>
      <c r="H2" s="14"/>
      <c r="I2" s="15"/>
    </row>
    <row r="3" spans="1:9" ht="18" customHeight="1" x14ac:dyDescent="0.6">
      <c r="A3" s="10" t="s">
        <v>1</v>
      </c>
      <c r="B3" s="11" t="s">
        <v>185</v>
      </c>
      <c r="C3" s="12"/>
      <c r="D3" s="12"/>
      <c r="E3" s="12"/>
      <c r="F3" s="12"/>
      <c r="G3" s="13"/>
      <c r="H3" s="14"/>
      <c r="I3" s="15"/>
    </row>
    <row r="4" spans="1:9" ht="18" customHeight="1" x14ac:dyDescent="0.6">
      <c r="A4" s="10" t="s">
        <v>289</v>
      </c>
      <c r="B4" s="11" t="s">
        <v>409</v>
      </c>
      <c r="C4" s="12"/>
      <c r="D4" s="12"/>
      <c r="E4" s="12"/>
      <c r="F4" s="12"/>
      <c r="G4" s="13"/>
      <c r="H4" s="14"/>
      <c r="I4" s="20"/>
    </row>
    <row r="5" spans="1:9" ht="25.15" customHeight="1" x14ac:dyDescent="0.25">
      <c r="A5" s="295" t="s">
        <v>126</v>
      </c>
      <c r="B5" s="296"/>
      <c r="C5" s="296"/>
      <c r="D5" s="296"/>
      <c r="E5" s="296"/>
      <c r="F5" s="296"/>
      <c r="G5" s="296"/>
      <c r="H5" s="296"/>
      <c r="I5" s="297"/>
    </row>
    <row r="6" spans="1:9" ht="14.45" customHeight="1" thickBot="1" x14ac:dyDescent="0.65">
      <c r="A6" s="16"/>
      <c r="B6" s="17"/>
      <c r="C6" s="17"/>
      <c r="D6" s="17"/>
      <c r="E6" s="17"/>
      <c r="F6" s="17"/>
      <c r="G6" s="18"/>
      <c r="H6" s="19"/>
      <c r="I6" s="20"/>
    </row>
    <row r="7" spans="1:9" ht="31.5" x14ac:dyDescent="0.6">
      <c r="A7" s="22"/>
      <c r="B7" s="23" t="s">
        <v>14</v>
      </c>
      <c r="C7" s="24" t="s">
        <v>15</v>
      </c>
      <c r="D7" s="24" t="s">
        <v>127</v>
      </c>
      <c r="E7" s="206" t="s">
        <v>410</v>
      </c>
      <c r="F7" s="206" t="s">
        <v>411</v>
      </c>
      <c r="G7" s="25" t="s">
        <v>412</v>
      </c>
      <c r="H7" s="26"/>
      <c r="I7" s="21"/>
    </row>
    <row r="8" spans="1:9" x14ac:dyDescent="0.6">
      <c r="A8" s="22"/>
      <c r="B8" s="27" t="s">
        <v>128</v>
      </c>
      <c r="C8" s="28" t="s">
        <v>7</v>
      </c>
      <c r="D8" s="28" t="s">
        <v>120</v>
      </c>
      <c r="E8" s="207"/>
      <c r="F8" s="207"/>
      <c r="G8" s="29">
        <v>6049.17</v>
      </c>
      <c r="H8" s="26"/>
      <c r="I8" s="21"/>
    </row>
    <row r="9" spans="1:9" x14ac:dyDescent="0.6">
      <c r="A9" s="22"/>
      <c r="B9" s="30" t="s">
        <v>129</v>
      </c>
      <c r="C9" s="31" t="s">
        <v>8</v>
      </c>
      <c r="D9" s="31" t="s">
        <v>120</v>
      </c>
      <c r="E9" s="208">
        <f>SUM(E10:E20)</f>
        <v>6049.1699999999992</v>
      </c>
      <c r="F9" s="208">
        <f>SUM(F10:F20)</f>
        <v>21510.280000000006</v>
      </c>
      <c r="G9" s="32">
        <f>SUM(G10:G20)</f>
        <v>27559.450000000004</v>
      </c>
      <c r="H9" s="26"/>
      <c r="I9" s="21"/>
    </row>
    <row r="10" spans="1:9" x14ac:dyDescent="0.6">
      <c r="A10" s="22"/>
      <c r="B10" s="212" t="s">
        <v>421</v>
      </c>
      <c r="C10" s="210"/>
      <c r="D10" s="210" t="s">
        <v>120</v>
      </c>
      <c r="E10" s="278">
        <v>1662.34</v>
      </c>
      <c r="F10" s="278">
        <v>2365.5700000000002</v>
      </c>
      <c r="G10" s="211">
        <f>F10+E10</f>
        <v>4027.91</v>
      </c>
      <c r="H10" s="26"/>
      <c r="I10" s="21"/>
    </row>
    <row r="11" spans="1:9" x14ac:dyDescent="0.6">
      <c r="A11" s="22"/>
      <c r="B11" s="212" t="s">
        <v>422</v>
      </c>
      <c r="C11" s="210"/>
      <c r="D11" s="210" t="s">
        <v>120</v>
      </c>
      <c r="E11" s="278">
        <f>1147.74+527.82</f>
        <v>1675.56</v>
      </c>
      <c r="F11" s="278">
        <v>2339.0300000000002</v>
      </c>
      <c r="G11" s="211">
        <f t="shared" ref="G11:G32" si="0">F11+E11</f>
        <v>4014.59</v>
      </c>
      <c r="H11" s="26"/>
      <c r="I11" s="21"/>
    </row>
    <row r="12" spans="1:9" x14ac:dyDescent="0.6">
      <c r="A12" s="22"/>
      <c r="B12" s="212" t="s">
        <v>423</v>
      </c>
      <c r="C12" s="210"/>
      <c r="D12" s="210" t="s">
        <v>120</v>
      </c>
      <c r="E12" s="278">
        <f>812.7+31.66</f>
        <v>844.36</v>
      </c>
      <c r="F12" s="278">
        <v>2514.3200000000002</v>
      </c>
      <c r="G12" s="211">
        <f t="shared" si="0"/>
        <v>3358.6800000000003</v>
      </c>
      <c r="H12" s="26"/>
      <c r="I12" s="21"/>
    </row>
    <row r="13" spans="1:9" x14ac:dyDescent="0.6">
      <c r="A13" s="22"/>
      <c r="B13" s="212" t="s">
        <v>424</v>
      </c>
      <c r="C13" s="210"/>
      <c r="D13" s="210" t="s">
        <v>120</v>
      </c>
      <c r="E13" s="278">
        <f>900.46+243.83</f>
        <v>1144.29</v>
      </c>
      <c r="F13" s="278">
        <v>2513.4</v>
      </c>
      <c r="G13" s="211">
        <f t="shared" si="0"/>
        <v>3657.69</v>
      </c>
      <c r="H13" s="26"/>
      <c r="I13" s="21"/>
    </row>
    <row r="14" spans="1:9" x14ac:dyDescent="0.6">
      <c r="A14" s="22"/>
      <c r="B14" s="212" t="s">
        <v>543</v>
      </c>
      <c r="C14" s="210"/>
      <c r="D14" s="210" t="s">
        <v>120</v>
      </c>
      <c r="E14" s="278">
        <f>691.7+30.92</f>
        <v>722.62</v>
      </c>
      <c r="F14" s="278">
        <v>699.84</v>
      </c>
      <c r="G14" s="211">
        <f t="shared" si="0"/>
        <v>1422.46</v>
      </c>
      <c r="H14" s="26"/>
      <c r="I14" s="21"/>
    </row>
    <row r="15" spans="1:9" x14ac:dyDescent="0.6">
      <c r="A15" s="22"/>
      <c r="B15" s="212" t="s">
        <v>413</v>
      </c>
      <c r="C15" s="210"/>
      <c r="D15" s="210" t="s">
        <v>120</v>
      </c>
      <c r="E15" s="278"/>
      <c r="F15" s="278">
        <v>9097.92</v>
      </c>
      <c r="G15" s="211">
        <f t="shared" si="0"/>
        <v>9097.92</v>
      </c>
      <c r="H15" s="26"/>
      <c r="I15" s="21"/>
    </row>
    <row r="16" spans="1:9" x14ac:dyDescent="0.6">
      <c r="A16" s="22"/>
      <c r="B16" s="212" t="s">
        <v>414</v>
      </c>
      <c r="C16" s="210"/>
      <c r="D16" s="210" t="s">
        <v>120</v>
      </c>
      <c r="E16" s="278"/>
      <c r="F16" s="278">
        <v>699.84</v>
      </c>
      <c r="G16" s="211">
        <f t="shared" si="0"/>
        <v>699.84</v>
      </c>
      <c r="H16" s="26"/>
      <c r="I16" s="21"/>
    </row>
    <row r="17" spans="1:9" x14ac:dyDescent="0.6">
      <c r="A17" s="22"/>
      <c r="B17" s="212" t="s">
        <v>415</v>
      </c>
      <c r="C17" s="210"/>
      <c r="D17" s="210" t="s">
        <v>120</v>
      </c>
      <c r="E17" s="278"/>
      <c r="F17" s="278">
        <v>693.56</v>
      </c>
      <c r="G17" s="211">
        <f t="shared" si="0"/>
        <v>693.56</v>
      </c>
      <c r="H17" s="26"/>
      <c r="I17" s="21"/>
    </row>
    <row r="18" spans="1:9" x14ac:dyDescent="0.6">
      <c r="A18" s="22"/>
      <c r="B18" s="212" t="s">
        <v>416</v>
      </c>
      <c r="C18" s="210"/>
      <c r="D18" s="210" t="s">
        <v>120</v>
      </c>
      <c r="E18" s="278"/>
      <c r="F18" s="278">
        <v>303.24</v>
      </c>
      <c r="G18" s="211">
        <f t="shared" si="0"/>
        <v>303.24</v>
      </c>
      <c r="H18" s="26"/>
      <c r="I18" s="21"/>
    </row>
    <row r="19" spans="1:9" x14ac:dyDescent="0.6">
      <c r="A19" s="22"/>
      <c r="B19" s="212" t="s">
        <v>417</v>
      </c>
      <c r="C19" s="210"/>
      <c r="D19" s="210" t="s">
        <v>120</v>
      </c>
      <c r="E19" s="278"/>
      <c r="F19" s="278">
        <v>150.18</v>
      </c>
      <c r="G19" s="211">
        <f t="shared" si="0"/>
        <v>150.18</v>
      </c>
      <c r="H19" s="26"/>
      <c r="I19" s="21"/>
    </row>
    <row r="20" spans="1:9" x14ac:dyDescent="0.6">
      <c r="A20" s="22"/>
      <c r="B20" s="212" t="s">
        <v>418</v>
      </c>
      <c r="C20" s="210"/>
      <c r="D20" s="210" t="s">
        <v>120</v>
      </c>
      <c r="E20" s="278"/>
      <c r="F20" s="278">
        <v>133.38</v>
      </c>
      <c r="G20" s="211">
        <f t="shared" si="0"/>
        <v>133.38</v>
      </c>
      <c r="H20" s="26"/>
      <c r="I20" s="21"/>
    </row>
    <row r="21" spans="1:9" x14ac:dyDescent="0.6">
      <c r="A21" s="22"/>
      <c r="B21" s="30" t="s">
        <v>290</v>
      </c>
      <c r="C21" s="31" t="s">
        <v>291</v>
      </c>
      <c r="D21" s="31" t="s">
        <v>123</v>
      </c>
      <c r="E21" s="208">
        <v>36</v>
      </c>
      <c r="F21" s="208">
        <v>60</v>
      </c>
      <c r="G21" s="211">
        <f t="shared" si="0"/>
        <v>96</v>
      </c>
      <c r="H21" s="203">
        <f>G9-G33-G32</f>
        <v>16003.740000000007</v>
      </c>
      <c r="I21" s="21"/>
    </row>
    <row r="22" spans="1:9" x14ac:dyDescent="0.6">
      <c r="A22" s="22"/>
      <c r="B22" s="30" t="s">
        <v>292</v>
      </c>
      <c r="C22" s="31" t="s">
        <v>296</v>
      </c>
      <c r="D22" s="31" t="s">
        <v>123</v>
      </c>
      <c r="E22" s="208">
        <f>E21</f>
        <v>36</v>
      </c>
      <c r="F22" s="208"/>
      <c r="G22" s="211">
        <f t="shared" si="0"/>
        <v>36</v>
      </c>
      <c r="H22" s="26"/>
      <c r="I22" s="21"/>
    </row>
    <row r="23" spans="1:9" x14ac:dyDescent="0.6">
      <c r="A23" s="22"/>
      <c r="B23" s="279" t="s">
        <v>293</v>
      </c>
      <c r="C23" s="31" t="s">
        <v>297</v>
      </c>
      <c r="D23" s="31" t="s">
        <v>123</v>
      </c>
      <c r="E23" s="208"/>
      <c r="F23" s="208"/>
      <c r="G23" s="211">
        <f t="shared" si="0"/>
        <v>0</v>
      </c>
      <c r="H23" s="26"/>
      <c r="I23" s="21"/>
    </row>
    <row r="24" spans="1:9" x14ac:dyDescent="0.6">
      <c r="A24" s="22"/>
      <c r="B24" s="279" t="s">
        <v>294</v>
      </c>
      <c r="C24" s="31" t="s">
        <v>295</v>
      </c>
      <c r="D24" s="31" t="s">
        <v>123</v>
      </c>
      <c r="E24" s="208"/>
      <c r="F24" s="208"/>
      <c r="G24" s="211">
        <f t="shared" si="0"/>
        <v>0</v>
      </c>
      <c r="H24" s="26"/>
      <c r="I24" s="21"/>
    </row>
    <row r="25" spans="1:9" x14ac:dyDescent="0.6">
      <c r="A25" s="22"/>
      <c r="B25" s="30" t="s">
        <v>272</v>
      </c>
      <c r="C25" s="31" t="s">
        <v>314</v>
      </c>
      <c r="D25" s="31" t="s">
        <v>123</v>
      </c>
      <c r="E25" s="208"/>
      <c r="F25" s="208">
        <v>60</v>
      </c>
      <c r="G25" s="211">
        <f t="shared" si="0"/>
        <v>60</v>
      </c>
      <c r="H25" s="26"/>
      <c r="I25" s="21"/>
    </row>
    <row r="26" spans="1:9" x14ac:dyDescent="0.6">
      <c r="A26" s="22"/>
      <c r="B26" s="30" t="s">
        <v>130</v>
      </c>
      <c r="C26" s="31" t="s">
        <v>9</v>
      </c>
      <c r="D26" s="31" t="s">
        <v>123</v>
      </c>
      <c r="E26" s="208">
        <v>5</v>
      </c>
      <c r="F26" s="208">
        <v>23</v>
      </c>
      <c r="G26" s="211">
        <f t="shared" si="0"/>
        <v>28</v>
      </c>
      <c r="H26" s="26"/>
      <c r="I26" s="21"/>
    </row>
    <row r="27" spans="1:9" x14ac:dyDescent="0.6">
      <c r="A27" s="22"/>
      <c r="B27" s="30" t="s">
        <v>131</v>
      </c>
      <c r="C27" s="31" t="s">
        <v>10</v>
      </c>
      <c r="D27" s="31" t="s">
        <v>123</v>
      </c>
      <c r="E27" s="208">
        <v>0</v>
      </c>
      <c r="F27" s="208">
        <v>13</v>
      </c>
      <c r="G27" s="211">
        <f t="shared" si="0"/>
        <v>13</v>
      </c>
      <c r="H27" s="26"/>
      <c r="I27" s="21"/>
    </row>
    <row r="28" spans="1:9" x14ac:dyDescent="0.6">
      <c r="A28" s="22"/>
      <c r="B28" s="30" t="s">
        <v>132</v>
      </c>
      <c r="C28" s="31" t="s">
        <v>40</v>
      </c>
      <c r="D28" s="31" t="s">
        <v>123</v>
      </c>
      <c r="E28" s="208">
        <v>3</v>
      </c>
      <c r="F28" s="208">
        <v>1</v>
      </c>
      <c r="G28" s="211">
        <f t="shared" si="0"/>
        <v>4</v>
      </c>
      <c r="H28" s="26"/>
      <c r="I28" s="21"/>
    </row>
    <row r="29" spans="1:9" x14ac:dyDescent="0.6">
      <c r="A29" s="22"/>
      <c r="B29" s="30" t="s">
        <v>133</v>
      </c>
      <c r="C29" s="31" t="s">
        <v>41</v>
      </c>
      <c r="D29" s="31" t="s">
        <v>123</v>
      </c>
      <c r="E29" s="208">
        <v>0</v>
      </c>
      <c r="F29" s="208">
        <v>1</v>
      </c>
      <c r="G29" s="211">
        <f t="shared" si="0"/>
        <v>1</v>
      </c>
      <c r="H29" s="26"/>
      <c r="I29" s="21"/>
    </row>
    <row r="30" spans="1:9" x14ac:dyDescent="0.6">
      <c r="A30" s="22"/>
      <c r="B30" s="30" t="s">
        <v>134</v>
      </c>
      <c r="C30" s="31" t="s">
        <v>11</v>
      </c>
      <c r="D30" s="31" t="s">
        <v>120</v>
      </c>
      <c r="E30" s="208">
        <v>1021.82</v>
      </c>
      <c r="F30" s="208">
        <f>369.45*2</f>
        <v>738.9</v>
      </c>
      <c r="G30" s="211">
        <f t="shared" si="0"/>
        <v>1760.72</v>
      </c>
      <c r="H30" s="26"/>
      <c r="I30" s="21"/>
    </row>
    <row r="31" spans="1:9" x14ac:dyDescent="0.6">
      <c r="A31" s="22"/>
      <c r="B31" s="30" t="s">
        <v>135</v>
      </c>
      <c r="C31" s="31" t="s">
        <v>12</v>
      </c>
      <c r="D31" s="31" t="s">
        <v>119</v>
      </c>
      <c r="E31" s="208">
        <v>151.47399999999999</v>
      </c>
      <c r="F31" s="208">
        <f>101.4*2</f>
        <v>202.8</v>
      </c>
      <c r="G31" s="211">
        <f t="shared" si="0"/>
        <v>354.274</v>
      </c>
      <c r="H31" s="26"/>
      <c r="I31" s="21"/>
    </row>
    <row r="32" spans="1:9" x14ac:dyDescent="0.6">
      <c r="A32" s="22"/>
      <c r="B32" s="30" t="s">
        <v>136</v>
      </c>
      <c r="C32" s="31" t="s">
        <v>36</v>
      </c>
      <c r="D32" s="31" t="s">
        <v>120</v>
      </c>
      <c r="E32" s="208">
        <v>0</v>
      </c>
      <c r="F32" s="208">
        <f>F13</f>
        <v>2513.4</v>
      </c>
      <c r="G32" s="211">
        <f t="shared" si="0"/>
        <v>2513.4</v>
      </c>
      <c r="H32" s="26"/>
      <c r="I32" s="21"/>
    </row>
    <row r="33" spans="1:9" x14ac:dyDescent="0.6">
      <c r="A33" s="22"/>
      <c r="B33" s="30" t="s">
        <v>137</v>
      </c>
      <c r="C33" s="31" t="s">
        <v>35</v>
      </c>
      <c r="D33" s="31" t="s">
        <v>120</v>
      </c>
      <c r="E33" s="208">
        <f>E11</f>
        <v>1675.56</v>
      </c>
      <c r="F33" s="208">
        <f>F11+F12+F13</f>
        <v>7366.75</v>
      </c>
      <c r="G33" s="211">
        <f>F33+E33</f>
        <v>9042.31</v>
      </c>
      <c r="H33" s="26"/>
      <c r="I33" s="21"/>
    </row>
    <row r="34" spans="1:9" x14ac:dyDescent="0.6">
      <c r="A34" s="22"/>
      <c r="B34" s="30" t="s">
        <v>138</v>
      </c>
      <c r="C34" s="31" t="s">
        <v>139</v>
      </c>
      <c r="D34" s="31" t="s">
        <v>120</v>
      </c>
      <c r="E34" s="208">
        <f>E10</f>
        <v>1662.34</v>
      </c>
      <c r="F34" s="208">
        <v>0</v>
      </c>
      <c r="G34" s="211">
        <f t="shared" ref="G34:G37" si="1">F34+E34</f>
        <v>1662.34</v>
      </c>
      <c r="H34" s="26"/>
      <c r="I34" s="21"/>
    </row>
    <row r="35" spans="1:9" x14ac:dyDescent="0.6">
      <c r="A35" s="22"/>
      <c r="B35" s="30" t="s">
        <v>140</v>
      </c>
      <c r="C35" s="31" t="s">
        <v>13</v>
      </c>
      <c r="D35" s="31" t="s">
        <v>123</v>
      </c>
      <c r="E35" s="208">
        <v>1</v>
      </c>
      <c r="F35" s="208">
        <v>0</v>
      </c>
      <c r="G35" s="211">
        <f t="shared" si="1"/>
        <v>1</v>
      </c>
      <c r="H35" s="26"/>
      <c r="I35" s="21"/>
    </row>
    <row r="36" spans="1:9" x14ac:dyDescent="0.6">
      <c r="A36" s="22"/>
      <c r="B36" s="30" t="s">
        <v>141</v>
      </c>
      <c r="C36" s="31" t="s">
        <v>39</v>
      </c>
      <c r="D36" s="31" t="s">
        <v>120</v>
      </c>
      <c r="E36" s="208">
        <v>2087.2800000000002</v>
      </c>
      <c r="F36" s="208">
        <v>2365.5700000000002</v>
      </c>
      <c r="G36" s="211">
        <f t="shared" si="1"/>
        <v>4452.8500000000004</v>
      </c>
      <c r="H36" s="26">
        <f>G36/G9</f>
        <v>0.16157252775363803</v>
      </c>
      <c r="I36" s="21"/>
    </row>
    <row r="37" spans="1:9" x14ac:dyDescent="0.6">
      <c r="A37" s="22"/>
      <c r="B37" s="30" t="s">
        <v>142</v>
      </c>
      <c r="C37" s="31" t="s">
        <v>154</v>
      </c>
      <c r="D37" s="31" t="s">
        <v>119</v>
      </c>
      <c r="E37" s="208">
        <v>226.19</v>
      </c>
      <c r="F37" s="208">
        <v>223.43</v>
      </c>
      <c r="G37" s="211">
        <f t="shared" si="1"/>
        <v>449.62</v>
      </c>
      <c r="H37" s="26"/>
      <c r="I37" s="21"/>
    </row>
    <row r="38" spans="1:9" ht="22.5" thickBot="1" x14ac:dyDescent="0.65">
      <c r="A38" s="22"/>
      <c r="B38" s="33" t="s">
        <v>143</v>
      </c>
      <c r="C38" s="34" t="s">
        <v>155</v>
      </c>
      <c r="D38" s="34" t="s">
        <v>123</v>
      </c>
      <c r="E38" s="209">
        <v>1</v>
      </c>
      <c r="F38" s="209">
        <v>3</v>
      </c>
      <c r="G38" s="35">
        <f>F38+E38</f>
        <v>4</v>
      </c>
      <c r="H38" s="26"/>
      <c r="I38" s="21"/>
    </row>
    <row r="39" spans="1:9" ht="22.5" thickBot="1" x14ac:dyDescent="0.65">
      <c r="A39" s="36"/>
      <c r="B39" s="37"/>
      <c r="C39" s="37"/>
      <c r="D39" s="37"/>
      <c r="E39" s="37"/>
      <c r="F39" s="37"/>
      <c r="G39" s="38"/>
      <c r="H39" s="39"/>
      <c r="I39" s="40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5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B14" zoomScale="80" zoomScaleNormal="80" zoomScaleSheetLayoutView="95" workbookViewId="0">
      <selection activeCell="G31" sqref="G31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59.855468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02" t="s">
        <v>121</v>
      </c>
      <c r="B2" s="303"/>
      <c r="C2" s="303"/>
      <c r="D2" s="303"/>
      <c r="E2" s="303"/>
      <c r="F2" s="303"/>
      <c r="G2" s="304"/>
      <c r="I2" s="2"/>
    </row>
    <row r="3" spans="1:9" ht="28.5" customHeight="1" x14ac:dyDescent="0.25">
      <c r="A3" s="189" t="s">
        <v>186</v>
      </c>
      <c r="B3" s="195">
        <v>45780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298</v>
      </c>
      <c r="B4" s="196" t="s">
        <v>217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301</v>
      </c>
    </row>
    <row r="9" spans="1:9" s="55" customFormat="1" ht="21.75" x14ac:dyDescent="0.25">
      <c r="A9" s="66" t="s">
        <v>145</v>
      </c>
      <c r="B9" s="67"/>
      <c r="C9" s="67"/>
      <c r="D9" s="68"/>
      <c r="E9" s="88">
        <v>0</v>
      </c>
      <c r="F9" s="89">
        <f>E9*D9*1.1</f>
        <v>0</v>
      </c>
      <c r="G9" s="67"/>
    </row>
    <row r="10" spans="1:9" s="55" customFormat="1" ht="43.5" x14ac:dyDescent="0.25">
      <c r="A10" s="66" t="s">
        <v>419</v>
      </c>
      <c r="B10" s="67"/>
      <c r="C10" s="67"/>
      <c r="D10" s="68">
        <f>8.45*2*15</f>
        <v>253.49999999999997</v>
      </c>
      <c r="E10" s="88">
        <v>0</v>
      </c>
      <c r="F10" s="89">
        <f>E10*D10*1.1</f>
        <v>0</v>
      </c>
      <c r="G10" s="67" t="s">
        <v>420</v>
      </c>
    </row>
    <row r="11" spans="1:9" s="55" customFormat="1" ht="21.75" x14ac:dyDescent="0.25">
      <c r="A11" s="301" t="s">
        <v>17</v>
      </c>
      <c r="B11" s="301"/>
      <c r="C11" s="301"/>
      <c r="D11" s="301"/>
      <c r="E11" s="301"/>
      <c r="F11" s="90">
        <f>SUM(F9:F9)</f>
        <v>0</v>
      </c>
      <c r="G11" s="90"/>
    </row>
    <row r="12" spans="1:9" s="55" customFormat="1" ht="21.75" x14ac:dyDescent="0.25">
      <c r="A12" s="305"/>
      <c r="B12" s="305"/>
      <c r="C12" s="305"/>
      <c r="D12" s="305"/>
      <c r="E12" s="305"/>
      <c r="F12" s="100"/>
      <c r="G12" s="100"/>
    </row>
    <row r="13" spans="1:9" s="55" customFormat="1" ht="21.75" x14ac:dyDescent="0.25">
      <c r="A13" s="52" t="s">
        <v>153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152</v>
      </c>
      <c r="C15" s="64"/>
      <c r="D15" s="65"/>
      <c r="E15" s="101" t="s">
        <v>151</v>
      </c>
      <c r="F15" s="90" t="s">
        <v>16</v>
      </c>
      <c r="G15" s="90" t="s">
        <v>301</v>
      </c>
    </row>
    <row r="16" spans="1:9" s="55" customFormat="1" ht="21.75" x14ac:dyDescent="0.2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/>
    </row>
    <row r="17" spans="1:11" s="55" customFormat="1" ht="21.75" x14ac:dyDescent="0.25">
      <c r="A17" s="301" t="s">
        <v>17</v>
      </c>
      <c r="B17" s="301"/>
      <c r="C17" s="301"/>
      <c r="D17" s="301"/>
      <c r="E17" s="301"/>
      <c r="F17" s="90">
        <f>SUM(F16:F16)</f>
        <v>0</v>
      </c>
      <c r="G17" s="90"/>
    </row>
    <row r="18" spans="1:11" s="55" customFormat="1" ht="21.75" x14ac:dyDescent="0.25">
      <c r="A18" s="305"/>
      <c r="B18" s="305"/>
      <c r="C18" s="305"/>
      <c r="D18" s="305"/>
      <c r="E18" s="305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306" t="s">
        <v>5</v>
      </c>
      <c r="C21" s="307"/>
      <c r="D21" s="65" t="s">
        <v>147</v>
      </c>
      <c r="E21" s="101" t="s">
        <v>160</v>
      </c>
      <c r="F21" s="90" t="s">
        <v>16</v>
      </c>
      <c r="G21" s="90" t="s">
        <v>301</v>
      </c>
    </row>
    <row r="22" spans="1:11" s="55" customFormat="1" ht="43.5" x14ac:dyDescent="0.25">
      <c r="A22" s="70" t="s">
        <v>20</v>
      </c>
      <c r="B22" s="62">
        <v>1.3</v>
      </c>
      <c r="C22" s="62" t="s">
        <v>317</v>
      </c>
      <c r="D22" s="72">
        <f>B22*'INFRAESTRUTURA '!D29</f>
        <v>1194.336</v>
      </c>
      <c r="E22" s="88">
        <v>36.36</v>
      </c>
      <c r="F22" s="106">
        <f>E22*D22*1.1</f>
        <v>47768.662656000008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157</v>
      </c>
      <c r="D23" s="72">
        <f>D22-'INFRAESTRUTURA '!D29</f>
        <v>275.61599999999999</v>
      </c>
      <c r="E23" s="88">
        <v>14.55</v>
      </c>
      <c r="F23" s="106">
        <f>E23*D23*1.1</f>
        <v>4411.2340800000002</v>
      </c>
      <c r="G23" s="67"/>
    </row>
    <row r="24" spans="1:11" s="55" customFormat="1" ht="21.75" x14ac:dyDescent="0.25">
      <c r="A24" s="70" t="s">
        <v>156</v>
      </c>
      <c r="B24" s="62">
        <v>1.3</v>
      </c>
      <c r="C24" s="62"/>
      <c r="D24" s="72">
        <f>(D22-D23)*B24</f>
        <v>1194.336</v>
      </c>
      <c r="E24" s="88">
        <v>45.45</v>
      </c>
      <c r="F24" s="106">
        <f>E24*D24*1.1</f>
        <v>59710.828320000008</v>
      </c>
      <c r="G24" s="67"/>
    </row>
    <row r="25" spans="1:11" s="55" customFormat="1" ht="21.75" x14ac:dyDescent="0.25">
      <c r="A25" s="69" t="s">
        <v>144</v>
      </c>
      <c r="B25" s="61">
        <v>1</v>
      </c>
      <c r="C25" s="61" t="s">
        <v>22</v>
      </c>
      <c r="D25" s="73">
        <f>'INFRAESTRUTURA '!D19</f>
        <v>0</v>
      </c>
      <c r="E25" s="88">
        <v>20</v>
      </c>
      <c r="F25" s="106">
        <f>E25*D25*1.1</f>
        <v>0</v>
      </c>
      <c r="G25" s="67"/>
    </row>
    <row r="26" spans="1:11" s="55" customFormat="1" ht="21.75" x14ac:dyDescent="0.25">
      <c r="A26" s="301" t="s">
        <v>17</v>
      </c>
      <c r="B26" s="301"/>
      <c r="C26" s="301"/>
      <c r="D26" s="301"/>
      <c r="E26" s="301"/>
      <c r="F26" s="90">
        <f>SUM(F22:F25)</f>
        <v>111890.72505600002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306" t="s">
        <v>5</v>
      </c>
      <c r="C30" s="307"/>
      <c r="D30" s="65" t="s">
        <v>158</v>
      </c>
      <c r="E30" s="101" t="s">
        <v>159</v>
      </c>
      <c r="F30" s="90" t="s">
        <v>16</v>
      </c>
      <c r="G30" s="90" t="s">
        <v>301</v>
      </c>
    </row>
    <row r="31" spans="1:11" ht="21.75" x14ac:dyDescent="0.25">
      <c r="A31" s="70" t="s">
        <v>300</v>
      </c>
      <c r="B31" s="62">
        <v>0.8</v>
      </c>
      <c r="C31" s="62" t="s">
        <v>113</v>
      </c>
      <c r="D31" s="72">
        <f>B31*DADOS_INICIAIS!F36</f>
        <v>1892.4560000000001</v>
      </c>
      <c r="E31" s="88">
        <f>370*0.05</f>
        <v>18.5</v>
      </c>
      <c r="F31" s="106">
        <f>E31*D31*1.1</f>
        <v>38511.479600000006</v>
      </c>
      <c r="G31" s="67"/>
      <c r="H31" s="1">
        <f>F31/DADOS_INICIAIS!G36</f>
        <v>8.648726006939377</v>
      </c>
      <c r="I31" s="100"/>
    </row>
    <row r="32" spans="1:11" ht="21.75" x14ac:dyDescent="0.25">
      <c r="A32" s="301" t="s">
        <v>17</v>
      </c>
      <c r="B32" s="301"/>
      <c r="C32" s="301"/>
      <c r="D32" s="301"/>
      <c r="E32" s="301"/>
      <c r="F32" s="90">
        <f>SUM(F31:F31)</f>
        <v>38511.479600000006</v>
      </c>
      <c r="G32" s="90"/>
    </row>
    <row r="34" spans="1:7" ht="23.25" customHeight="1" x14ac:dyDescent="0.25">
      <c r="A34" s="298" t="s">
        <v>103</v>
      </c>
      <c r="B34" s="299"/>
      <c r="C34" s="299"/>
      <c r="D34" s="299"/>
      <c r="E34" s="300"/>
      <c r="F34" s="108">
        <f>F11+F17+F26+F32</f>
        <v>150402.20465600002</v>
      </c>
      <c r="G34" s="108">
        <f>F34/DADOS_INICIAIS!F9</f>
        <v>6.992108175997708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02" t="s">
        <v>166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B10*DADOS_INICIAIS!G36</f>
        <v>667.92750000000001</v>
      </c>
      <c r="E10" s="67" t="s">
        <v>3</v>
      </c>
      <c r="F10" s="92"/>
      <c r="G10" s="93"/>
      <c r="H10" s="102"/>
    </row>
    <row r="11" spans="1:10" ht="21.75" x14ac:dyDescent="0.25">
      <c r="A11" s="308" t="s">
        <v>162</v>
      </c>
      <c r="B11" s="76">
        <v>0.1</v>
      </c>
      <c r="C11" s="62"/>
      <c r="D11" s="67">
        <f>B11*$D$10</f>
        <v>66.792749999999998</v>
      </c>
      <c r="E11" s="67" t="s">
        <v>3</v>
      </c>
      <c r="F11" s="92"/>
      <c r="G11" s="93"/>
      <c r="H11" s="102"/>
    </row>
    <row r="12" spans="1:10" ht="21.75" x14ac:dyDescent="0.25">
      <c r="A12" s="309"/>
      <c r="B12" s="77">
        <v>20</v>
      </c>
      <c r="C12" s="62" t="s">
        <v>163</v>
      </c>
      <c r="D12" s="67">
        <f>B12*D11</f>
        <v>1335.855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08" t="s">
        <v>161</v>
      </c>
      <c r="B13" s="76">
        <v>0.5</v>
      </c>
      <c r="C13" s="62"/>
      <c r="D13" s="67">
        <f>B13*$D$10</f>
        <v>333.96375</v>
      </c>
      <c r="E13" s="67" t="s">
        <v>3</v>
      </c>
      <c r="F13" s="92"/>
      <c r="G13" s="93"/>
      <c r="H13" s="102"/>
    </row>
    <row r="14" spans="1:10" ht="21.75" x14ac:dyDescent="0.25">
      <c r="A14" s="309"/>
      <c r="B14" s="77">
        <v>20</v>
      </c>
      <c r="C14" s="62" t="s">
        <v>163</v>
      </c>
      <c r="D14" s="67">
        <f>B14*D13</f>
        <v>6679.2749999999996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08" t="s">
        <v>114</v>
      </c>
      <c r="B15" s="76">
        <v>0.4</v>
      </c>
      <c r="C15" s="62" t="s">
        <v>108</v>
      </c>
      <c r="D15" s="67">
        <f>B15*$D$10</f>
        <v>267.17099999999999</v>
      </c>
      <c r="E15" s="67" t="s">
        <v>3</v>
      </c>
      <c r="F15" s="92"/>
      <c r="G15" s="93"/>
      <c r="H15" s="102"/>
    </row>
    <row r="16" spans="1:10" ht="21.75" x14ac:dyDescent="0.25">
      <c r="A16" s="309"/>
      <c r="B16" s="77">
        <v>20</v>
      </c>
      <c r="C16" s="62" t="s">
        <v>163</v>
      </c>
      <c r="D16" s="67">
        <f>B16*D15</f>
        <v>5343.42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2266.2246173010444</v>
      </c>
      <c r="C17" s="62" t="s">
        <v>108</v>
      </c>
      <c r="D17" s="67">
        <f>(PI()*0.4^2)/4*D14+(PI()*0.5^2)/4*D16+(PI()*0.6^2)/4*D12</f>
        <v>2266.2246173010444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3756.2970357142858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23066.399121428571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301" t="s">
        <v>17</v>
      </c>
      <c r="B21" s="301"/>
      <c r="C21" s="301"/>
      <c r="D21" s="301"/>
      <c r="E21" s="301"/>
      <c r="F21" s="301"/>
      <c r="G21" s="90">
        <f>SUM(G10:G20)</f>
        <v>0</v>
      </c>
      <c r="H21" s="103"/>
    </row>
    <row r="23" spans="1:8" ht="21.75" x14ac:dyDescent="0.25">
      <c r="A23" s="52" t="s">
        <v>299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06" t="s">
        <v>5</v>
      </c>
      <c r="C25" s="307"/>
      <c r="D25" s="306" t="s">
        <v>18</v>
      </c>
      <c r="E25" s="307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B26*DADOS_INICIAIS!G36</f>
        <v>9350.9850000000006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B27*DADOS_INICIAIS!G36</f>
        <v>2894.3525000000004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318378.77500000002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315</v>
      </c>
      <c r="C29" s="62" t="s">
        <v>102</v>
      </c>
      <c r="D29" s="67">
        <f>DADOS_INICIAIS!G36</f>
        <v>4452.8500000000004</v>
      </c>
      <c r="E29" s="67" t="s">
        <v>2</v>
      </c>
      <c r="F29" s="88">
        <f>B29</f>
        <v>315</v>
      </c>
      <c r="G29" s="89">
        <f>F29*D29</f>
        <v>1402647.75</v>
      </c>
      <c r="H29" s="102"/>
    </row>
    <row r="30" spans="1:8" ht="21.75" x14ac:dyDescent="0.25">
      <c r="A30" s="301" t="s">
        <v>17</v>
      </c>
      <c r="B30" s="301"/>
      <c r="C30" s="301"/>
      <c r="D30" s="301"/>
      <c r="E30" s="301"/>
      <c r="F30" s="301"/>
      <c r="G30" s="90">
        <f>SUM(G26:G29)</f>
        <v>1402647.75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06" t="s">
        <v>5</v>
      </c>
      <c r="C35" s="307"/>
      <c r="D35" s="306" t="s">
        <v>18</v>
      </c>
      <c r="E35" s="307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B36*DADOS_INICIAIS!G46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B37*DADOS_INICIAIS!G46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SUPRAESTRUTURA!B74*1.5</f>
        <v>0</v>
      </c>
      <c r="C39" s="62" t="s">
        <v>102</v>
      </c>
      <c r="D39" s="67">
        <f>DADOS_INICIAIS!G46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301" t="s">
        <v>17</v>
      </c>
      <c r="B40" s="301"/>
      <c r="C40" s="301"/>
      <c r="D40" s="301"/>
      <c r="E40" s="301"/>
      <c r="F40" s="301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11" t="s">
        <v>104</v>
      </c>
      <c r="B46" s="312"/>
      <c r="C46" s="312"/>
      <c r="D46" s="312"/>
      <c r="E46" s="312"/>
      <c r="F46" s="313"/>
      <c r="G46" s="91">
        <f>G21+G30</f>
        <v>1402647.75</v>
      </c>
      <c r="H46" s="91">
        <f>G46/DADOS_INICIAIS!G9</f>
        <v>50.895346242395973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C461-44F8-45E9-958A-97F93F9DFA03}">
  <sheetPr>
    <tabColor rgb="FF92D050"/>
  </sheetPr>
  <dimension ref="A1:J35"/>
  <sheetViews>
    <sheetView showGridLines="0" topLeftCell="A6" zoomScale="80" zoomScaleNormal="80" zoomScaleSheetLayoutView="95" workbookViewId="0">
      <selection activeCell="G35" sqref="G35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9.57031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302" t="s">
        <v>122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45780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280" t="s">
        <v>544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214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306" t="s">
        <v>5</v>
      </c>
      <c r="C9" s="307"/>
      <c r="D9" s="306" t="s">
        <v>18</v>
      </c>
      <c r="E9" s="307"/>
      <c r="F9" s="101" t="s">
        <v>118</v>
      </c>
      <c r="G9" s="90" t="s">
        <v>16</v>
      </c>
      <c r="H9" s="90" t="s">
        <v>301</v>
      </c>
    </row>
    <row r="10" spans="1:10" ht="21.75" x14ac:dyDescent="0.25">
      <c r="A10" s="66" t="s">
        <v>107</v>
      </c>
      <c r="B10" s="62">
        <f>D10/[4]DADOS_INICIAIS!E36</f>
        <v>0.17151508182898315</v>
      </c>
      <c r="C10" s="62" t="s">
        <v>108</v>
      </c>
      <c r="D10" s="67">
        <f>D11+D13+D15+D17</f>
        <v>358</v>
      </c>
      <c r="E10" s="67" t="s">
        <v>3</v>
      </c>
      <c r="F10" s="92"/>
      <c r="G10" s="93"/>
      <c r="H10" s="67" t="s">
        <v>345</v>
      </c>
    </row>
    <row r="11" spans="1:10" ht="21.75" x14ac:dyDescent="0.25">
      <c r="A11" s="308" t="s">
        <v>545</v>
      </c>
      <c r="B11" s="76">
        <f>D11/D10</f>
        <v>0.12569832402234637</v>
      </c>
      <c r="C11" s="62"/>
      <c r="D11" s="67">
        <v>45</v>
      </c>
      <c r="E11" s="67" t="s">
        <v>3</v>
      </c>
      <c r="F11" s="92"/>
      <c r="G11" s="93"/>
      <c r="H11" s="67"/>
    </row>
    <row r="12" spans="1:10" ht="21.75" x14ac:dyDescent="0.25">
      <c r="A12" s="309"/>
      <c r="B12" s="77">
        <v>15</v>
      </c>
      <c r="C12" s="62" t="s">
        <v>163</v>
      </c>
      <c r="D12" s="67">
        <f>B12*D11</f>
        <v>675</v>
      </c>
      <c r="E12" s="67" t="s">
        <v>4</v>
      </c>
      <c r="F12" s="213">
        <v>158.15</v>
      </c>
      <c r="G12" s="89">
        <f>F12*D12*1.1</f>
        <v>117426.37500000001</v>
      </c>
      <c r="H12" s="67"/>
    </row>
    <row r="13" spans="1:10" ht="21.75" x14ac:dyDescent="0.25">
      <c r="A13" s="308" t="s">
        <v>546</v>
      </c>
      <c r="B13" s="76">
        <f>D13/D10</f>
        <v>0.2988826815642458</v>
      </c>
      <c r="C13" s="62"/>
      <c r="D13" s="67">
        <v>107</v>
      </c>
      <c r="E13" s="67" t="s">
        <v>3</v>
      </c>
      <c r="F13" s="92"/>
      <c r="G13" s="93"/>
      <c r="H13" s="67"/>
    </row>
    <row r="14" spans="1:10" ht="21.75" x14ac:dyDescent="0.25">
      <c r="A14" s="309"/>
      <c r="B14" s="77">
        <v>15</v>
      </c>
      <c r="C14" s="62" t="s">
        <v>163</v>
      </c>
      <c r="D14" s="67">
        <f>B14*D13</f>
        <v>1605</v>
      </c>
      <c r="E14" s="67" t="s">
        <v>4</v>
      </c>
      <c r="F14" s="213">
        <f>F12*1.3</f>
        <v>205.59500000000003</v>
      </c>
      <c r="G14" s="89">
        <f>F14*D14*1.1</f>
        <v>362977.97250000009</v>
      </c>
      <c r="H14" s="67"/>
    </row>
    <row r="15" spans="1:10" ht="21.75" x14ac:dyDescent="0.25">
      <c r="A15" s="308" t="s">
        <v>547</v>
      </c>
      <c r="B15" s="76">
        <f>D15/D12</f>
        <v>0.28444444444444444</v>
      </c>
      <c r="C15" s="62"/>
      <c r="D15" s="67">
        <f>206-D17</f>
        <v>192</v>
      </c>
      <c r="E15" s="67" t="s">
        <v>3</v>
      </c>
      <c r="F15" s="92"/>
      <c r="G15" s="93"/>
      <c r="H15" s="67"/>
    </row>
    <row r="16" spans="1:10" ht="21.75" x14ac:dyDescent="0.25">
      <c r="A16" s="309"/>
      <c r="B16" s="77">
        <v>15</v>
      </c>
      <c r="C16" s="62" t="s">
        <v>163</v>
      </c>
      <c r="D16" s="67">
        <f>B16*D15</f>
        <v>2880</v>
      </c>
      <c r="E16" s="67" t="s">
        <v>4</v>
      </c>
      <c r="F16" s="213">
        <f>356.72*1.15</f>
        <v>410.22800000000001</v>
      </c>
      <c r="G16" s="89">
        <f>F16*D16*1.1</f>
        <v>1299602.3040000002</v>
      </c>
      <c r="H16" s="67"/>
    </row>
    <row r="17" spans="1:8" ht="21.75" x14ac:dyDescent="0.25">
      <c r="A17" s="308" t="s">
        <v>548</v>
      </c>
      <c r="B17" s="76">
        <f>D17/D14</f>
        <v>8.7227414330218068E-3</v>
      </c>
      <c r="C17" s="62"/>
      <c r="D17" s="67">
        <f>14</f>
        <v>14</v>
      </c>
      <c r="E17" s="67" t="s">
        <v>3</v>
      </c>
      <c r="F17" s="92"/>
      <c r="G17" s="93"/>
      <c r="H17" s="67"/>
    </row>
    <row r="18" spans="1:8" ht="21.75" x14ac:dyDescent="0.25">
      <c r="A18" s="309"/>
      <c r="B18" s="77">
        <v>8</v>
      </c>
      <c r="C18" s="62" t="s">
        <v>163</v>
      </c>
      <c r="D18" s="67">
        <f>B18*D17</f>
        <v>112</v>
      </c>
      <c r="E18" s="67" t="s">
        <v>4</v>
      </c>
      <c r="F18" s="213">
        <f>356.72*1.15</f>
        <v>410.22800000000001</v>
      </c>
      <c r="G18" s="89">
        <f>F18*D18*1.1</f>
        <v>50540.089600000007</v>
      </c>
      <c r="H18" s="67"/>
    </row>
    <row r="19" spans="1:8" ht="21.75" x14ac:dyDescent="0.25">
      <c r="A19" s="66" t="s">
        <v>361</v>
      </c>
      <c r="B19" s="62">
        <v>1.1000000000000001</v>
      </c>
      <c r="C19" s="62" t="s">
        <v>316</v>
      </c>
      <c r="D19" s="67"/>
      <c r="E19" s="67" t="s">
        <v>22</v>
      </c>
      <c r="F19" s="213">
        <f>510+44</f>
        <v>554</v>
      </c>
      <c r="G19" s="89">
        <f>F19*D19*B19*1.1</f>
        <v>0</v>
      </c>
      <c r="H19" s="67"/>
    </row>
    <row r="20" spans="1:8" ht="21.75" x14ac:dyDescent="0.25">
      <c r="A20" s="66" t="s">
        <v>344</v>
      </c>
      <c r="B20" s="62"/>
      <c r="C20" s="62" t="s">
        <v>34</v>
      </c>
      <c r="D20" s="67"/>
      <c r="E20" s="67" t="s">
        <v>26</v>
      </c>
      <c r="F20" s="88">
        <v>7.62</v>
      </c>
      <c r="G20" s="89">
        <f>F20*D20*1.1</f>
        <v>0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14500</v>
      </c>
      <c r="G21" s="89">
        <f>F21*D21*1.1</f>
        <v>15950.000000000002</v>
      </c>
      <c r="H21" s="67"/>
    </row>
    <row r="22" spans="1:8" ht="21.75" x14ac:dyDescent="0.25">
      <c r="A22" s="66" t="s">
        <v>303</v>
      </c>
      <c r="B22" s="62"/>
      <c r="C22" s="62"/>
      <c r="D22" s="67"/>
      <c r="E22" s="67" t="s">
        <v>3</v>
      </c>
      <c r="F22" s="88">
        <v>300</v>
      </c>
      <c r="G22" s="89">
        <f>F22*D22*1</f>
        <v>0</v>
      </c>
      <c r="H22" s="67"/>
    </row>
    <row r="23" spans="1:8" ht="21.75" x14ac:dyDescent="0.25">
      <c r="A23" s="301" t="s">
        <v>17</v>
      </c>
      <c r="B23" s="301"/>
      <c r="C23" s="301"/>
      <c r="D23" s="301"/>
      <c r="E23" s="301"/>
      <c r="F23" s="301"/>
      <c r="G23" s="90">
        <f>SUM(G10:G22)</f>
        <v>1846496.7411000005</v>
      </c>
      <c r="H23" s="90"/>
    </row>
    <row r="24" spans="1:8" x14ac:dyDescent="0.25">
      <c r="G24" s="94">
        <f>G23/(D12+D14+D16+D18)</f>
        <v>350.2459675834599</v>
      </c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306" t="s">
        <v>5</v>
      </c>
      <c r="C27" s="307"/>
      <c r="D27" s="306" t="s">
        <v>18</v>
      </c>
      <c r="E27" s="307"/>
      <c r="F27" s="101" t="s">
        <v>118</v>
      </c>
      <c r="G27" s="90" t="s">
        <v>16</v>
      </c>
      <c r="H27" s="90" t="s">
        <v>301</v>
      </c>
    </row>
    <row r="28" spans="1:8" ht="43.5" x14ac:dyDescent="0.25">
      <c r="A28" s="66" t="s">
        <v>111</v>
      </c>
      <c r="B28" s="62">
        <f>D28/[4]DADOS_INICIAIS!E36</f>
        <v>1.001585795868307</v>
      </c>
      <c r="C28" s="62" t="s">
        <v>113</v>
      </c>
      <c r="D28" s="67">
        <f>9.82+1366.63+714.14</f>
        <v>2090.59</v>
      </c>
      <c r="E28" s="67" t="s">
        <v>2</v>
      </c>
      <c r="F28" s="88">
        <v>68</v>
      </c>
      <c r="G28" s="89">
        <f>F28*D28*1.1</f>
        <v>156376.13200000001</v>
      </c>
      <c r="H28" s="67"/>
    </row>
    <row r="29" spans="1:8" ht="21.75" x14ac:dyDescent="0.25">
      <c r="A29" s="66" t="s">
        <v>302</v>
      </c>
      <c r="B29" s="62">
        <f>D29/[4]DADOS_INICIAIS!E36</f>
        <v>0.44015177647464643</v>
      </c>
      <c r="C29" s="62" t="s">
        <v>112</v>
      </c>
      <c r="D29" s="67">
        <f>0.94+263.4+129.64+524.74</f>
        <v>918.72</v>
      </c>
      <c r="E29" s="67" t="s">
        <v>22</v>
      </c>
      <c r="F29" s="213">
        <f>514+44</f>
        <v>558</v>
      </c>
      <c r="G29" s="89">
        <f>F29*D29*1.05*1.1</f>
        <v>592105.85280000011</v>
      </c>
      <c r="H29" s="67"/>
    </row>
    <row r="30" spans="1:8" ht="21.75" x14ac:dyDescent="0.25">
      <c r="A30" s="66" t="s">
        <v>23</v>
      </c>
      <c r="B30" s="62">
        <v>100</v>
      </c>
      <c r="C30" s="62" t="s">
        <v>34</v>
      </c>
      <c r="D30" s="67">
        <f>B30*D29</f>
        <v>91872</v>
      </c>
      <c r="E30" s="67" t="s">
        <v>26</v>
      </c>
      <c r="F30" s="88">
        <v>7.62</v>
      </c>
      <c r="G30" s="89">
        <f>F30*D30*1.1</f>
        <v>770071.10400000005</v>
      </c>
      <c r="H30" s="67"/>
    </row>
    <row r="31" spans="1:8" ht="21.75" x14ac:dyDescent="0.25">
      <c r="A31" s="66" t="s">
        <v>25</v>
      </c>
      <c r="B31" s="62">
        <f>[4]SUPRAESTRUTURA!B15*1.5</f>
        <v>315</v>
      </c>
      <c r="C31" s="62" t="s">
        <v>102</v>
      </c>
      <c r="D31" s="67">
        <f>DADOS_INICIAIS!F10</f>
        <v>2365.5700000000002</v>
      </c>
      <c r="E31" s="67" t="s">
        <v>2</v>
      </c>
      <c r="F31" s="88">
        <f>B31</f>
        <v>315</v>
      </c>
      <c r="G31" s="89">
        <f>F31*D31*1.1</f>
        <v>819670.00500000012</v>
      </c>
      <c r="H31" s="67"/>
    </row>
    <row r="32" spans="1:8" ht="21.75" x14ac:dyDescent="0.25">
      <c r="A32" s="301" t="s">
        <v>17</v>
      </c>
      <c r="B32" s="301"/>
      <c r="C32" s="301"/>
      <c r="D32" s="301"/>
      <c r="E32" s="301"/>
      <c r="F32" s="301"/>
      <c r="G32" s="90">
        <f>SUM(G28:G31)</f>
        <v>2338223.0937999999</v>
      </c>
      <c r="H32" s="90"/>
    </row>
    <row r="34" spans="1:8" x14ac:dyDescent="0.25">
      <c r="D34" s="86"/>
      <c r="E34" s="87"/>
    </row>
    <row r="35" spans="1:8" ht="21.75" x14ac:dyDescent="0.25">
      <c r="A35" s="311" t="s">
        <v>104</v>
      </c>
      <c r="B35" s="312"/>
      <c r="C35" s="312"/>
      <c r="D35" s="312"/>
      <c r="E35" s="312"/>
      <c r="F35" s="313"/>
      <c r="G35" s="91">
        <f>G32+G23</f>
        <v>4184719.8349000001</v>
      </c>
      <c r="H35" s="91">
        <f>G35/DADOS_INICIAIS!F9</f>
        <v>194.54511214637833</v>
      </c>
    </row>
  </sheetData>
  <mergeCells count="12">
    <mergeCell ref="A35:F35"/>
    <mergeCell ref="A3:H3"/>
    <mergeCell ref="B9:C9"/>
    <mergeCell ref="D9:E9"/>
    <mergeCell ref="A11:A12"/>
    <mergeCell ref="A13:A14"/>
    <mergeCell ref="A15:A16"/>
    <mergeCell ref="A17:A18"/>
    <mergeCell ref="A23:F23"/>
    <mergeCell ref="B27:C27"/>
    <mergeCell ref="D27:E27"/>
    <mergeCell ref="A32:F3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9"/>
  <sheetViews>
    <sheetView showGridLines="0" topLeftCell="B1" zoomScale="80" zoomScaleNormal="80" zoomScaleSheetLayoutView="95" workbookViewId="0">
      <selection activeCell="H67" sqref="H67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2" t="s">
        <v>28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45780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308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</row>
    <row r="10" spans="1:10" ht="21.75" x14ac:dyDescent="0.25">
      <c r="A10" s="66" t="s">
        <v>29</v>
      </c>
      <c r="B10" s="62">
        <v>4</v>
      </c>
      <c r="C10" s="62" t="s">
        <v>307</v>
      </c>
      <c r="D10" s="67">
        <f>(D11/DADOS_INICIAIS!F26)*B10</f>
        <v>7366.6852173913048</v>
      </c>
      <c r="E10" s="67" t="s">
        <v>2</v>
      </c>
      <c r="F10" s="88">
        <v>110</v>
      </c>
      <c r="G10" s="89">
        <f>F10*D10*1.1</f>
        <v>891368.91130434792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[5]Sheet1!$D$92</f>
        <v>42358.44</v>
      </c>
      <c r="E11" s="67" t="s">
        <v>2</v>
      </c>
      <c r="F11" s="88">
        <v>2.5</v>
      </c>
      <c r="G11" s="89">
        <f>F11*D11*1.1</f>
        <v>116485.71000000002</v>
      </c>
      <c r="H11" s="67" t="s">
        <v>425</v>
      </c>
    </row>
    <row r="12" spans="1:10" ht="21.75" x14ac:dyDescent="0.25">
      <c r="A12" s="78" t="s">
        <v>318</v>
      </c>
      <c r="B12" s="62">
        <v>4</v>
      </c>
      <c r="C12" s="62" t="s">
        <v>165</v>
      </c>
      <c r="D12" s="67">
        <f>ROUNDUP(B12*DADOS_INICIAIS!F12*B10,0)</f>
        <v>40230</v>
      </c>
      <c r="E12" s="67" t="s">
        <v>3</v>
      </c>
      <c r="F12" s="88">
        <f>17</f>
        <v>17</v>
      </c>
      <c r="G12" s="89">
        <f>F12*D12*1.1</f>
        <v>752301.00000000012</v>
      </c>
      <c r="H12" s="67"/>
      <c r="I12" s="198"/>
    </row>
    <row r="13" spans="1:10" ht="21.75" x14ac:dyDescent="0.25">
      <c r="A13" s="66" t="s">
        <v>99</v>
      </c>
      <c r="B13" s="62">
        <v>0.2</v>
      </c>
      <c r="C13" s="62" t="s">
        <v>38</v>
      </c>
      <c r="D13" s="67">
        <f>[5]Sheet1!$C$92</f>
        <v>5653.8300000000008</v>
      </c>
      <c r="E13" s="67" t="s">
        <v>22</v>
      </c>
      <c r="F13" s="213">
        <f>514+44</f>
        <v>558</v>
      </c>
      <c r="G13" s="89">
        <f>F13*D13*1.05*1.1</f>
        <v>3643836.8967000013</v>
      </c>
      <c r="H13" s="67" t="s">
        <v>425</v>
      </c>
    </row>
    <row r="14" spans="1:10" ht="21.75" x14ac:dyDescent="0.25">
      <c r="A14" s="66" t="s">
        <v>31</v>
      </c>
      <c r="B14" s="62">
        <v>100</v>
      </c>
      <c r="C14" s="62" t="s">
        <v>34</v>
      </c>
      <c r="D14" s="67">
        <f>D13*B14</f>
        <v>565383.00000000012</v>
      </c>
      <c r="E14" s="67" t="s">
        <v>26</v>
      </c>
      <c r="F14" s="88">
        <v>7.62</v>
      </c>
      <c r="G14" s="89">
        <f>F14*D14*1.1</f>
        <v>4739040.3060000017</v>
      </c>
      <c r="H14" s="67"/>
    </row>
    <row r="15" spans="1:10" ht="43.5" x14ac:dyDescent="0.25">
      <c r="A15" s="66" t="s">
        <v>101</v>
      </c>
      <c r="B15" s="62">
        <v>210</v>
      </c>
      <c r="C15" s="62" t="s">
        <v>6</v>
      </c>
      <c r="D15" s="67">
        <f>DADOS_INICIAIS!F9</f>
        <v>21510.280000000006</v>
      </c>
      <c r="E15" s="67" t="s">
        <v>2</v>
      </c>
      <c r="F15" s="88">
        <v>210</v>
      </c>
      <c r="G15" s="89">
        <f>F15*D15*1.1</f>
        <v>4968874.6800000025</v>
      </c>
      <c r="H15" s="67"/>
    </row>
    <row r="16" spans="1:10" ht="43.5" x14ac:dyDescent="0.25">
      <c r="A16" s="66" t="s">
        <v>304</v>
      </c>
      <c r="B16" s="62">
        <v>1500</v>
      </c>
      <c r="C16" s="62" t="s">
        <v>305</v>
      </c>
      <c r="D16" s="67">
        <v>1</v>
      </c>
      <c r="E16" s="67" t="s">
        <v>27</v>
      </c>
      <c r="F16" s="88">
        <f>B16*DADOS_INICIAIS!F26</f>
        <v>34500</v>
      </c>
      <c r="G16" s="89">
        <f>F16*D16*1.1</f>
        <v>37950</v>
      </c>
      <c r="H16" s="67" t="s">
        <v>306</v>
      </c>
      <c r="I16" s="55" t="s">
        <v>310</v>
      </c>
    </row>
    <row r="17" spans="1:12" ht="21.75" x14ac:dyDescent="0.25">
      <c r="A17" s="301" t="s">
        <v>17</v>
      </c>
      <c r="B17" s="301"/>
      <c r="C17" s="301"/>
      <c r="D17" s="301"/>
      <c r="E17" s="301"/>
      <c r="F17" s="301"/>
      <c r="G17" s="90">
        <f>SUM(G10:G16)</f>
        <v>15149857.504004356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hidden="1" x14ac:dyDescent="0.25">
      <c r="A19" s="52" t="s">
        <v>360</v>
      </c>
      <c r="B19" s="52"/>
      <c r="C19" s="52"/>
      <c r="D19" s="53"/>
      <c r="E19" s="53"/>
      <c r="F19" s="54"/>
      <c r="G19" s="53"/>
      <c r="H19" s="53"/>
    </row>
    <row r="20" spans="1:12" ht="21.75" hidden="1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hidden="1" x14ac:dyDescent="0.25">
      <c r="A21" s="63" t="s">
        <v>14</v>
      </c>
      <c r="B21" s="306" t="s">
        <v>5</v>
      </c>
      <c r="C21" s="307"/>
      <c r="D21" s="306" t="s">
        <v>18</v>
      </c>
      <c r="E21" s="307"/>
      <c r="F21" s="65" t="s">
        <v>118</v>
      </c>
      <c r="G21" s="71" t="s">
        <v>16</v>
      </c>
      <c r="H21" s="90" t="s">
        <v>301</v>
      </c>
    </row>
    <row r="22" spans="1:12" ht="21.75" hidden="1" x14ac:dyDescent="0.25">
      <c r="A22" s="66" t="s">
        <v>29</v>
      </c>
      <c r="B22" s="62">
        <v>2</v>
      </c>
      <c r="C22" s="62" t="s">
        <v>307</v>
      </c>
      <c r="D22" s="67">
        <f>(D23/DADOS_INICIAIS!$G$26)*B22</f>
        <v>4133.9175000000005</v>
      </c>
      <c r="E22" s="67" t="s">
        <v>2</v>
      </c>
      <c r="F22" s="88">
        <v>110</v>
      </c>
      <c r="G22" s="89">
        <f>F22*D22*1.1</f>
        <v>500204.01750000007</v>
      </c>
      <c r="H22" s="67"/>
    </row>
    <row r="23" spans="1:12" ht="21.75" hidden="1" x14ac:dyDescent="0.25">
      <c r="A23" s="78" t="s">
        <v>30</v>
      </c>
      <c r="B23" s="62">
        <v>2.1</v>
      </c>
      <c r="C23" s="62" t="s">
        <v>37</v>
      </c>
      <c r="D23" s="67">
        <f>B23*DADOS_INICIAIS!$G$9</f>
        <v>57874.845000000008</v>
      </c>
      <c r="E23" s="67" t="s">
        <v>2</v>
      </c>
      <c r="F23" s="88">
        <v>2.5</v>
      </c>
      <c r="G23" s="89">
        <f>F23*D23*1.1</f>
        <v>159155.82375000004</v>
      </c>
      <c r="H23" s="67"/>
    </row>
    <row r="24" spans="1:12" ht="21.75" hidden="1" x14ac:dyDescent="0.25">
      <c r="A24" s="78" t="s">
        <v>318</v>
      </c>
      <c r="B24" s="62">
        <v>3</v>
      </c>
      <c r="C24" s="62" t="s">
        <v>164</v>
      </c>
      <c r="D24" s="67">
        <f>ROUNDUP(B24*DADOS_INICIAIS!$G$36*B22,0)</f>
        <v>26718</v>
      </c>
      <c r="E24" s="67" t="s">
        <v>3</v>
      </c>
      <c r="F24" s="88">
        <f>17</f>
        <v>17</v>
      </c>
      <c r="G24" s="89">
        <f>F24*D24*1.1</f>
        <v>499626.60000000003</v>
      </c>
      <c r="H24" s="67"/>
    </row>
    <row r="25" spans="1:12" ht="21.75" hidden="1" x14ac:dyDescent="0.25">
      <c r="A25" s="66" t="s">
        <v>116</v>
      </c>
      <c r="B25" s="62">
        <v>25</v>
      </c>
      <c r="C25" s="62" t="s">
        <v>6</v>
      </c>
      <c r="D25" s="67">
        <v>1</v>
      </c>
      <c r="E25" s="67" t="s">
        <v>27</v>
      </c>
      <c r="F25" s="88">
        <f>B25*DADOS_INICIAIS!$G$9</f>
        <v>688986.25000000012</v>
      </c>
      <c r="G25" s="89">
        <f>F25*D25*1.1</f>
        <v>757884.87500000023</v>
      </c>
      <c r="H25" s="67"/>
    </row>
    <row r="26" spans="1:12" ht="21.75" hidden="1" x14ac:dyDescent="0.25">
      <c r="A26" s="78" t="s">
        <v>349</v>
      </c>
      <c r="B26" s="204">
        <f>12.3*0.8</f>
        <v>9.8400000000000016</v>
      </c>
      <c r="C26" s="204" t="s">
        <v>347</v>
      </c>
      <c r="D26" s="67">
        <f>(DADOS_INICIAIS!$G$27+DADOS_INICIAIS!$G$28)*DADOS_INICIAIS!$G$30+DADOS_INICIAIS!$G$33</f>
        <v>38974.550000000003</v>
      </c>
      <c r="E26" s="67" t="s">
        <v>2</v>
      </c>
      <c r="F26" s="88">
        <f>B26</f>
        <v>9.8400000000000016</v>
      </c>
      <c r="G26" s="89">
        <f t="shared" ref="G26:G27" si="0">F26*D26*1.1</f>
        <v>421860.52920000016</v>
      </c>
      <c r="H26" s="67"/>
    </row>
    <row r="27" spans="1:12" ht="21.75" hidden="1" x14ac:dyDescent="0.25">
      <c r="A27" s="78" t="s">
        <v>350</v>
      </c>
      <c r="B27" s="204">
        <f>2.83*0.8</f>
        <v>2.2640000000000002</v>
      </c>
      <c r="C27" s="204" t="s">
        <v>348</v>
      </c>
      <c r="D27" s="67">
        <f>B27*D26</f>
        <v>88238.381200000018</v>
      </c>
      <c r="E27" s="67" t="s">
        <v>26</v>
      </c>
      <c r="F27" s="88">
        <v>12.3</v>
      </c>
      <c r="G27" s="89">
        <f t="shared" si="0"/>
        <v>1193865.2976360002</v>
      </c>
      <c r="H27" s="67"/>
    </row>
    <row r="28" spans="1:12" ht="21.75" hidden="1" x14ac:dyDescent="0.25">
      <c r="A28" s="66" t="s">
        <v>351</v>
      </c>
      <c r="B28" s="204">
        <v>9000</v>
      </c>
      <c r="C28" s="204" t="s">
        <v>352</v>
      </c>
      <c r="D28" s="67">
        <f>DADOS_INICIAIS!G26</f>
        <v>28</v>
      </c>
      <c r="E28" s="67" t="s">
        <v>353</v>
      </c>
      <c r="F28" s="88">
        <f>B28</f>
        <v>9000</v>
      </c>
      <c r="G28" s="89">
        <f>F28*D28*1.1</f>
        <v>277200</v>
      </c>
      <c r="H28" s="67"/>
    </row>
    <row r="29" spans="1:12" ht="21.75" hidden="1" x14ac:dyDescent="0.25">
      <c r="A29" s="66" t="s">
        <v>99</v>
      </c>
      <c r="B29" s="62">
        <v>0.18</v>
      </c>
      <c r="C29" s="62" t="s">
        <v>38</v>
      </c>
      <c r="D29" s="67">
        <f>B29*DADOS_INICIAIS!$G$9</f>
        <v>4960.7010000000009</v>
      </c>
      <c r="E29" s="67" t="s">
        <v>22</v>
      </c>
      <c r="F29" s="88">
        <f>535+45</f>
        <v>580</v>
      </c>
      <c r="G29" s="89">
        <f>F29*D29*1.05*1.1</f>
        <v>3323173.5999000012</v>
      </c>
      <c r="H29" s="67"/>
    </row>
    <row r="30" spans="1:12" ht="21.75" hidden="1" x14ac:dyDescent="0.25">
      <c r="A30" s="66" t="s">
        <v>354</v>
      </c>
      <c r="B30" s="76">
        <v>0.2</v>
      </c>
      <c r="C30" s="62"/>
      <c r="D30" s="67">
        <f>B30*D29</f>
        <v>992.14020000000028</v>
      </c>
      <c r="E30" s="67" t="s">
        <v>22</v>
      </c>
      <c r="F30" s="88">
        <f>1.22*F29-F29</f>
        <v>127.60000000000002</v>
      </c>
      <c r="G30" s="89">
        <f>F30*D30*1.05*1.1</f>
        <v>146219.63839560011</v>
      </c>
      <c r="H30" s="67"/>
    </row>
    <row r="31" spans="1:12" ht="21.75" hidden="1" x14ac:dyDescent="0.25">
      <c r="A31" s="66" t="s">
        <v>31</v>
      </c>
      <c r="B31" s="62">
        <v>110</v>
      </c>
      <c r="C31" s="62" t="s">
        <v>34</v>
      </c>
      <c r="D31" s="67">
        <f>D29*B31-D27</f>
        <v>457438.7288000001</v>
      </c>
      <c r="E31" s="67" t="s">
        <v>26</v>
      </c>
      <c r="F31" s="88">
        <v>7.62</v>
      </c>
      <c r="G31" s="89">
        <f>F31*D31*1.1</f>
        <v>3834251.4248016011</v>
      </c>
      <c r="H31" s="67"/>
    </row>
    <row r="32" spans="1:12" ht="43.5" hidden="1" x14ac:dyDescent="0.25">
      <c r="A32" s="66" t="s">
        <v>101</v>
      </c>
      <c r="B32" s="62">
        <v>240</v>
      </c>
      <c r="C32" s="62" t="s">
        <v>6</v>
      </c>
      <c r="D32" s="67">
        <f>DADOS_INICIAIS!$G$9</f>
        <v>27559.450000000004</v>
      </c>
      <c r="E32" s="67" t="s">
        <v>2</v>
      </c>
      <c r="F32" s="88">
        <f>B32</f>
        <v>240</v>
      </c>
      <c r="G32" s="89">
        <f>F32*D32*1.1</f>
        <v>7275694.8000000017</v>
      </c>
      <c r="H32" s="67"/>
    </row>
    <row r="33" spans="1:8" ht="43.5" hidden="1" x14ac:dyDescent="0.25">
      <c r="A33" s="66" t="s">
        <v>304</v>
      </c>
      <c r="B33" s="62">
        <v>5300</v>
      </c>
      <c r="C33" s="62" t="s">
        <v>305</v>
      </c>
      <c r="D33" s="67">
        <v>1</v>
      </c>
      <c r="E33" s="67" t="s">
        <v>27</v>
      </c>
      <c r="F33" s="88">
        <f>B33*DADOS_INICIAIS!$G$26</f>
        <v>148400</v>
      </c>
      <c r="G33" s="89">
        <f>F33*D33*1.1</f>
        <v>163240</v>
      </c>
      <c r="H33" s="67" t="s">
        <v>306</v>
      </c>
    </row>
    <row r="34" spans="1:8" ht="21.75" hidden="1" x14ac:dyDescent="0.25">
      <c r="A34" s="301" t="s">
        <v>17</v>
      </c>
      <c r="B34" s="301"/>
      <c r="C34" s="301"/>
      <c r="D34" s="301"/>
      <c r="E34" s="301"/>
      <c r="F34" s="301"/>
      <c r="G34" s="90">
        <f>SUM(G22:G33)</f>
        <v>18552376.606183205</v>
      </c>
      <c r="H34" s="90"/>
    </row>
    <row r="35" spans="1:8" hidden="1" x14ac:dyDescent="0.25"/>
    <row r="36" spans="1:8" ht="21.75" hidden="1" x14ac:dyDescent="0.25">
      <c r="A36" s="52" t="s">
        <v>309</v>
      </c>
      <c r="B36" s="52"/>
      <c r="C36" s="52"/>
      <c r="D36" s="53"/>
      <c r="E36" s="53"/>
      <c r="F36" s="54"/>
      <c r="G36" s="53"/>
      <c r="H36" s="53"/>
    </row>
    <row r="37" spans="1:8" ht="21.75" hidden="1" x14ac:dyDescent="0.25">
      <c r="A37" s="56"/>
      <c r="B37" s="56"/>
      <c r="C37" s="56"/>
      <c r="D37" s="57"/>
      <c r="E37" s="57"/>
      <c r="F37" s="58"/>
      <c r="G37" s="59"/>
      <c r="H37" s="59"/>
    </row>
    <row r="38" spans="1:8" ht="21.75" hidden="1" x14ac:dyDescent="0.25">
      <c r="A38" s="63" t="s">
        <v>14</v>
      </c>
      <c r="B38" s="306" t="s">
        <v>5</v>
      </c>
      <c r="C38" s="307"/>
      <c r="D38" s="306" t="s">
        <v>18</v>
      </c>
      <c r="E38" s="307"/>
      <c r="F38" s="65" t="s">
        <v>118</v>
      </c>
      <c r="G38" s="71" t="s">
        <v>16</v>
      </c>
      <c r="H38" s="90" t="s">
        <v>301</v>
      </c>
    </row>
    <row r="39" spans="1:8" ht="21.75" hidden="1" x14ac:dyDescent="0.25">
      <c r="A39" s="66" t="s">
        <v>29</v>
      </c>
      <c r="B39" s="197">
        <v>2</v>
      </c>
      <c r="C39" s="197" t="s">
        <v>307</v>
      </c>
      <c r="D39" s="67">
        <f>(D40/DADOS_INICIAIS!$G$26)*B39</f>
        <v>0</v>
      </c>
      <c r="E39" s="67" t="s">
        <v>2</v>
      </c>
      <c r="F39" s="88">
        <v>85</v>
      </c>
      <c r="G39" s="89">
        <f>F39*D39*1.1</f>
        <v>0</v>
      </c>
      <c r="H39" s="67"/>
    </row>
    <row r="40" spans="1:8" ht="21.75" hidden="1" x14ac:dyDescent="0.25">
      <c r="A40" s="78" t="s">
        <v>30</v>
      </c>
      <c r="B40" s="197">
        <v>2.1</v>
      </c>
      <c r="C40" s="197" t="s">
        <v>37</v>
      </c>
      <c r="D40" s="67">
        <f>B40*DADOS_INICIAIS!G49</f>
        <v>0</v>
      </c>
      <c r="E40" s="67" t="s">
        <v>2</v>
      </c>
      <c r="F40" s="88">
        <v>1.5</v>
      </c>
      <c r="G40" s="89">
        <f>F40*D40*1.1</f>
        <v>0</v>
      </c>
      <c r="H40" s="67"/>
    </row>
    <row r="41" spans="1:8" ht="21.75" hidden="1" x14ac:dyDescent="0.25">
      <c r="A41" s="78" t="s">
        <v>32</v>
      </c>
      <c r="B41" s="197">
        <v>2</v>
      </c>
      <c r="C41" s="197" t="s">
        <v>164</v>
      </c>
      <c r="D41" s="67">
        <f>B41*DADOS_INICIAIS!G58*DADOS_INICIAIS!G55</f>
        <v>0</v>
      </c>
      <c r="E41" s="67" t="s">
        <v>3</v>
      </c>
      <c r="F41" s="88">
        <v>17</v>
      </c>
      <c r="G41" s="89">
        <f>F41*D41*1.1</f>
        <v>0</v>
      </c>
      <c r="H41" s="67"/>
    </row>
    <row r="42" spans="1:8" ht="21.75" hidden="1" x14ac:dyDescent="0.25">
      <c r="A42" s="78" t="s">
        <v>33</v>
      </c>
      <c r="B42" s="197">
        <v>2</v>
      </c>
      <c r="C42" s="197" t="s">
        <v>165</v>
      </c>
      <c r="D42" s="67">
        <f>B42*DADOS_INICIAIS!G61</f>
        <v>0</v>
      </c>
      <c r="E42" s="67" t="s">
        <v>3</v>
      </c>
      <c r="F42" s="88">
        <v>17</v>
      </c>
      <c r="G42" s="89">
        <f>F42*D42*1.1</f>
        <v>0</v>
      </c>
      <c r="H42" s="67"/>
    </row>
    <row r="43" spans="1:8" ht="21.75" hidden="1" x14ac:dyDescent="0.25">
      <c r="A43" s="66" t="s">
        <v>116</v>
      </c>
      <c r="B43" s="197">
        <v>25</v>
      </c>
      <c r="C43" s="197" t="s">
        <v>6</v>
      </c>
      <c r="D43" s="67">
        <f>B43*DADOS_INICIAIS!G49</f>
        <v>0</v>
      </c>
      <c r="E43" s="67" t="s">
        <v>22</v>
      </c>
      <c r="F43" s="88">
        <f>B43</f>
        <v>25</v>
      </c>
      <c r="G43" s="89">
        <f>F43*D43*1.1</f>
        <v>0</v>
      </c>
      <c r="H43" s="67"/>
    </row>
    <row r="44" spans="1:8" ht="21.75" hidden="1" x14ac:dyDescent="0.25">
      <c r="A44" s="66" t="s">
        <v>99</v>
      </c>
      <c r="B44" s="197">
        <v>0.25</v>
      </c>
      <c r="C44" s="197" t="s">
        <v>38</v>
      </c>
      <c r="D44" s="67">
        <f>B44*DADOS_INICIAIS!G49</f>
        <v>0</v>
      </c>
      <c r="E44" s="67" t="s">
        <v>22</v>
      </c>
      <c r="F44" s="88">
        <f>575</f>
        <v>575</v>
      </c>
      <c r="G44" s="89">
        <f>F44*D44*1.05*1.1</f>
        <v>0</v>
      </c>
      <c r="H44" s="67"/>
    </row>
    <row r="45" spans="1:8" ht="21.75" hidden="1" x14ac:dyDescent="0.25">
      <c r="A45" s="66" t="s">
        <v>31</v>
      </c>
      <c r="B45" s="197">
        <v>110</v>
      </c>
      <c r="C45" s="197" t="s">
        <v>34</v>
      </c>
      <c r="D45" s="67">
        <f>D44*B45</f>
        <v>0</v>
      </c>
      <c r="E45" s="67" t="s">
        <v>26</v>
      </c>
      <c r="F45" s="88">
        <v>7.25</v>
      </c>
      <c r="G45" s="89">
        <f>F45*D45*1.1</f>
        <v>0</v>
      </c>
      <c r="H45" s="67"/>
    </row>
    <row r="46" spans="1:8" ht="43.5" hidden="1" x14ac:dyDescent="0.25">
      <c r="A46" s="66" t="s">
        <v>101</v>
      </c>
      <c r="B46" s="197">
        <v>240</v>
      </c>
      <c r="C46" s="197" t="s">
        <v>6</v>
      </c>
      <c r="D46" s="67">
        <f>DADOS_INICIAIS!G49</f>
        <v>0</v>
      </c>
      <c r="E46" s="67" t="s">
        <v>2</v>
      </c>
      <c r="F46" s="88">
        <f>B46</f>
        <v>240</v>
      </c>
      <c r="G46" s="89">
        <f>F46*D46*1.1</f>
        <v>0</v>
      </c>
      <c r="H46" s="67"/>
    </row>
    <row r="47" spans="1:8" ht="43.5" hidden="1" x14ac:dyDescent="0.25">
      <c r="A47" s="66" t="s">
        <v>304</v>
      </c>
      <c r="B47" s="197">
        <v>5300</v>
      </c>
      <c r="C47" s="197" t="s">
        <v>305</v>
      </c>
      <c r="D47" s="67">
        <v>1</v>
      </c>
      <c r="E47" s="67" t="s">
        <v>27</v>
      </c>
      <c r="F47" s="88">
        <f>B47*DADOS_INICIAIS!G54</f>
        <v>0</v>
      </c>
      <c r="G47" s="89">
        <f>F47*D47*1.1</f>
        <v>0</v>
      </c>
      <c r="H47" s="67" t="s">
        <v>306</v>
      </c>
    </row>
    <row r="48" spans="1:8" ht="21.75" hidden="1" x14ac:dyDescent="0.25">
      <c r="A48" s="301" t="s">
        <v>17</v>
      </c>
      <c r="B48" s="301"/>
      <c r="C48" s="301"/>
      <c r="D48" s="301"/>
      <c r="E48" s="301"/>
      <c r="F48" s="301"/>
      <c r="G48" s="90">
        <f>SUM(G39:G47)</f>
        <v>0</v>
      </c>
      <c r="H48" s="90"/>
    </row>
    <row r="49" spans="1:8" hidden="1" x14ac:dyDescent="0.25"/>
    <row r="50" spans="1:8" ht="21.75" hidden="1" x14ac:dyDescent="0.25">
      <c r="A50" s="52" t="s">
        <v>346</v>
      </c>
      <c r="B50" s="52"/>
      <c r="C50" s="52"/>
      <c r="D50" s="53"/>
      <c r="E50" s="53"/>
      <c r="F50" s="54"/>
      <c r="G50" s="53"/>
      <c r="H50" s="53"/>
    </row>
    <row r="51" spans="1:8" ht="21.75" hidden="1" x14ac:dyDescent="0.25">
      <c r="A51" s="56"/>
      <c r="B51" s="56"/>
      <c r="C51" s="56"/>
      <c r="D51" s="57"/>
      <c r="E51" s="57"/>
      <c r="F51" s="58"/>
      <c r="G51" s="59"/>
      <c r="H51" s="59"/>
    </row>
    <row r="52" spans="1:8" ht="21.75" hidden="1" x14ac:dyDescent="0.25">
      <c r="A52" s="63" t="s">
        <v>14</v>
      </c>
      <c r="B52" s="306" t="s">
        <v>5</v>
      </c>
      <c r="C52" s="307"/>
      <c r="D52" s="306" t="s">
        <v>18</v>
      </c>
      <c r="E52" s="307"/>
      <c r="F52" s="65" t="s">
        <v>118</v>
      </c>
      <c r="G52" s="71" t="s">
        <v>16</v>
      </c>
      <c r="H52" s="90" t="s">
        <v>301</v>
      </c>
    </row>
    <row r="53" spans="1:8" ht="21.75" hidden="1" x14ac:dyDescent="0.25">
      <c r="A53" s="66" t="s">
        <v>29</v>
      </c>
      <c r="B53" s="62">
        <v>3</v>
      </c>
      <c r="C53" s="62" t="s">
        <v>307</v>
      </c>
      <c r="D53" s="67">
        <f>(D54/DADOS_INICIAIS!$G$26)*B53</f>
        <v>7381.9955357142862</v>
      </c>
      <c r="E53" s="67" t="s">
        <v>2</v>
      </c>
      <c r="F53" s="88">
        <v>85</v>
      </c>
      <c r="G53" s="89">
        <f t="shared" ref="G53:G58" si="1">F53*D53*1.1</f>
        <v>690216.5825892858</v>
      </c>
      <c r="H53" s="67"/>
    </row>
    <row r="54" spans="1:8" ht="21.75" hidden="1" x14ac:dyDescent="0.25">
      <c r="A54" s="78" t="s">
        <v>30</v>
      </c>
      <c r="B54" s="62">
        <v>2.5</v>
      </c>
      <c r="C54" s="62" t="s">
        <v>37</v>
      </c>
      <c r="D54" s="67">
        <f>B54*DADOS_INICIAIS!$G$9</f>
        <v>68898.625000000015</v>
      </c>
      <c r="E54" s="67" t="s">
        <v>2</v>
      </c>
      <c r="F54" s="88">
        <v>1.5</v>
      </c>
      <c r="G54" s="89">
        <f t="shared" si="1"/>
        <v>113682.73125000004</v>
      </c>
      <c r="H54" s="67"/>
    </row>
    <row r="55" spans="1:8" ht="21.75" hidden="1" x14ac:dyDescent="0.25">
      <c r="A55" s="78" t="s">
        <v>318</v>
      </c>
      <c r="B55" s="62">
        <v>4</v>
      </c>
      <c r="C55" s="62" t="s">
        <v>165</v>
      </c>
      <c r="D55" s="67">
        <f>ROUNDUP(B55*DADOS_INICIAIS!$G$36*B53,0)</f>
        <v>53435</v>
      </c>
      <c r="E55" s="67" t="s">
        <v>3</v>
      </c>
      <c r="F55" s="88">
        <v>17</v>
      </c>
      <c r="G55" s="89">
        <f t="shared" si="1"/>
        <v>999234.50000000012</v>
      </c>
      <c r="H55" s="67"/>
    </row>
    <row r="56" spans="1:8" ht="21.75" hidden="1" x14ac:dyDescent="0.25">
      <c r="A56" s="78" t="s">
        <v>349</v>
      </c>
      <c r="B56" s="204">
        <v>12.3</v>
      </c>
      <c r="C56" s="204" t="s">
        <v>347</v>
      </c>
      <c r="D56" s="67">
        <f>(DADOS_INICIAIS!$G$27+DADOS_INICIAIS!$G$28)*DADOS_INICIAIS!$G$30+DADOS_INICIAIS!$G$33</f>
        <v>38974.550000000003</v>
      </c>
      <c r="E56" s="67" t="s">
        <v>2</v>
      </c>
      <c r="F56" s="88">
        <f>B56</f>
        <v>12.3</v>
      </c>
      <c r="G56" s="89">
        <f t="shared" si="1"/>
        <v>527325.66150000016</v>
      </c>
      <c r="H56" s="67"/>
    </row>
    <row r="57" spans="1:8" ht="21.75" hidden="1" x14ac:dyDescent="0.25">
      <c r="A57" s="78" t="s">
        <v>350</v>
      </c>
      <c r="B57" s="204">
        <v>2.83</v>
      </c>
      <c r="C57" s="204" t="s">
        <v>348</v>
      </c>
      <c r="D57" s="67">
        <f>B57*D56</f>
        <v>110297.9765</v>
      </c>
      <c r="E57" s="67" t="s">
        <v>26</v>
      </c>
      <c r="F57" s="88">
        <v>12.3</v>
      </c>
      <c r="G57" s="89">
        <f t="shared" si="1"/>
        <v>1492331.6220450003</v>
      </c>
      <c r="H57" s="67"/>
    </row>
    <row r="58" spans="1:8" ht="21.75" hidden="1" x14ac:dyDescent="0.25">
      <c r="A58" s="66" t="s">
        <v>351</v>
      </c>
      <c r="B58" s="204">
        <v>9000</v>
      </c>
      <c r="C58" s="204" t="s">
        <v>352</v>
      </c>
      <c r="D58" s="67">
        <f>DADOS_INICIAIS!G26</f>
        <v>28</v>
      </c>
      <c r="E58" s="67" t="s">
        <v>353</v>
      </c>
      <c r="F58" s="88">
        <f>B58</f>
        <v>9000</v>
      </c>
      <c r="G58" s="89">
        <f t="shared" si="1"/>
        <v>277200</v>
      </c>
      <c r="H58" s="67"/>
    </row>
    <row r="59" spans="1:8" ht="21.75" hidden="1" x14ac:dyDescent="0.25">
      <c r="A59" s="66" t="s">
        <v>99</v>
      </c>
      <c r="B59" s="204">
        <v>0.25</v>
      </c>
      <c r="C59" s="204" t="s">
        <v>38</v>
      </c>
      <c r="D59" s="67">
        <f>B59*DADOS_INICIAIS!$G$9</f>
        <v>6889.8625000000011</v>
      </c>
      <c r="E59" s="67" t="s">
        <v>22</v>
      </c>
      <c r="F59" s="88">
        <f>535+45</f>
        <v>580</v>
      </c>
      <c r="G59" s="89">
        <f>F59*D59*1.05*1.1</f>
        <v>4615518.8887500018</v>
      </c>
      <c r="H59" s="67"/>
    </row>
    <row r="60" spans="1:8" ht="21.75" hidden="1" x14ac:dyDescent="0.25">
      <c r="A60" s="66" t="s">
        <v>354</v>
      </c>
      <c r="B60" s="76">
        <v>0.2</v>
      </c>
      <c r="C60" s="62"/>
      <c r="D60" s="67">
        <f>B60*D59</f>
        <v>1377.9725000000003</v>
      </c>
      <c r="E60" s="67" t="s">
        <v>22</v>
      </c>
      <c r="F60" s="88">
        <f>1.22*F59-F59</f>
        <v>127.60000000000002</v>
      </c>
      <c r="G60" s="89">
        <f>F60*D60*1.05*1.1</f>
        <v>203082.83110500011</v>
      </c>
      <c r="H60" s="67"/>
    </row>
    <row r="61" spans="1:8" ht="21.75" hidden="1" x14ac:dyDescent="0.25">
      <c r="A61" s="66" t="s">
        <v>31</v>
      </c>
      <c r="B61" s="204">
        <v>110</v>
      </c>
      <c r="C61" s="204" t="s">
        <v>34</v>
      </c>
      <c r="D61" s="67">
        <f>D59*B61-D57</f>
        <v>647586.89850000013</v>
      </c>
      <c r="E61" s="67" t="s">
        <v>26</v>
      </c>
      <c r="F61" s="88">
        <v>7.62</v>
      </c>
      <c r="G61" s="89">
        <f>F61*D61*1.1</f>
        <v>5428073.3832270019</v>
      </c>
      <c r="H61" s="67"/>
    </row>
    <row r="62" spans="1:8" ht="43.5" hidden="1" x14ac:dyDescent="0.25">
      <c r="A62" s="66" t="s">
        <v>101</v>
      </c>
      <c r="B62" s="62">
        <v>240</v>
      </c>
      <c r="C62" s="62" t="s">
        <v>6</v>
      </c>
      <c r="D62" s="67">
        <f>DADOS_INICIAIS!$G$9</f>
        <v>27559.450000000004</v>
      </c>
      <c r="E62" s="67" t="s">
        <v>2</v>
      </c>
      <c r="F62" s="88">
        <f>B62</f>
        <v>240</v>
      </c>
      <c r="G62" s="89">
        <f>F62*D62*1.1</f>
        <v>7275694.8000000017</v>
      </c>
      <c r="H62" s="67"/>
    </row>
    <row r="63" spans="1:8" ht="43.5" hidden="1" x14ac:dyDescent="0.25">
      <c r="A63" s="66" t="s">
        <v>304</v>
      </c>
      <c r="B63" s="62">
        <v>5300</v>
      </c>
      <c r="C63" s="62" t="s">
        <v>305</v>
      </c>
      <c r="D63" s="67">
        <v>1</v>
      </c>
      <c r="E63" s="67" t="s">
        <v>27</v>
      </c>
      <c r="F63" s="88">
        <f>B63*DADOS_INICIAIS!$G$26</f>
        <v>148400</v>
      </c>
      <c r="G63" s="89">
        <f>F63*D63*1.1</f>
        <v>163240</v>
      </c>
      <c r="H63" s="67" t="s">
        <v>306</v>
      </c>
    </row>
    <row r="64" spans="1:8" ht="21.75" hidden="1" x14ac:dyDescent="0.25">
      <c r="A64" s="301" t="s">
        <v>17</v>
      </c>
      <c r="B64" s="301"/>
      <c r="C64" s="301"/>
      <c r="D64" s="301"/>
      <c r="E64" s="301"/>
      <c r="F64" s="301"/>
      <c r="G64" s="90">
        <f>SUM(G53:G63)</f>
        <v>21785601.000466291</v>
      </c>
      <c r="H64" s="90"/>
    </row>
    <row r="67" spans="1:8" ht="21.75" x14ac:dyDescent="0.25">
      <c r="A67" s="311" t="s">
        <v>105</v>
      </c>
      <c r="B67" s="312"/>
      <c r="C67" s="312"/>
      <c r="D67" s="312"/>
      <c r="E67" s="312"/>
      <c r="F67" s="313"/>
      <c r="G67" s="91">
        <f>G17</f>
        <v>15149857.504004356</v>
      </c>
      <c r="H67" s="91">
        <f>G67/DADOS_INICIAIS!F9</f>
        <v>704.30777767673646</v>
      </c>
    </row>
    <row r="69" spans="1:8" x14ac:dyDescent="0.25">
      <c r="G69" s="198"/>
    </row>
  </sheetData>
  <mergeCells count="14">
    <mergeCell ref="A17:F17"/>
    <mergeCell ref="A67:F67"/>
    <mergeCell ref="A3:H3"/>
    <mergeCell ref="B9:C9"/>
    <mergeCell ref="D9:E9"/>
    <mergeCell ref="B21:C21"/>
    <mergeCell ref="D21:E21"/>
    <mergeCell ref="A34:F34"/>
    <mergeCell ref="B38:C38"/>
    <mergeCell ref="D38:E38"/>
    <mergeCell ref="A48:F48"/>
    <mergeCell ref="B52:C52"/>
    <mergeCell ref="D52:E52"/>
    <mergeCell ref="A64:F6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44"/>
  <sheetViews>
    <sheetView showGridLines="0" zoomScale="80" zoomScaleNormal="80" zoomScaleSheetLayoutView="95" workbookViewId="0">
      <selection activeCell="D11" sqref="D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2" t="s">
        <v>311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45780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</row>
    <row r="10" spans="1:10" ht="21.75" x14ac:dyDescent="0.25">
      <c r="A10" s="66" t="s">
        <v>426</v>
      </c>
      <c r="B10" s="62">
        <f>D10/DADOS_INICIAIS!F9</f>
        <v>0.62650620075610342</v>
      </c>
      <c r="C10" s="62" t="s">
        <v>181</v>
      </c>
      <c r="D10" s="67">
        <f>DADOS_INICIAIS!F31*(65.14-14.84)+DADOS_INICIAIS!F37*(14.84-0.18)</f>
        <v>13476.3238</v>
      </c>
      <c r="E10" s="67" t="s">
        <v>2</v>
      </c>
      <c r="F10" s="88">
        <v>48</v>
      </c>
      <c r="G10" s="89">
        <f>F10*D10*1.1</f>
        <v>711549.89664000005</v>
      </c>
      <c r="H10" s="67"/>
    </row>
    <row r="11" spans="1:10" ht="21.75" x14ac:dyDescent="0.25">
      <c r="A11" s="66" t="s">
        <v>427</v>
      </c>
      <c r="B11" s="62">
        <v>0.2</v>
      </c>
      <c r="C11" s="62" t="s">
        <v>37</v>
      </c>
      <c r="D11" s="67">
        <f>B11*DADOS_INICIAIS!F9</f>
        <v>4302.0560000000014</v>
      </c>
      <c r="E11" s="67" t="s">
        <v>2</v>
      </c>
      <c r="F11" s="88">
        <v>70</v>
      </c>
      <c r="G11" s="89">
        <f>F11*D11*1.05*1.1</f>
        <v>347821.22760000016</v>
      </c>
      <c r="H11" s="67"/>
    </row>
    <row r="12" spans="1:10" ht="21.75" x14ac:dyDescent="0.25">
      <c r="A12" s="66" t="s">
        <v>173</v>
      </c>
      <c r="B12" s="62">
        <v>1.75</v>
      </c>
      <c r="C12" s="62" t="s">
        <v>315</v>
      </c>
      <c r="D12" s="67">
        <f>B12*DADOS_INICIAIS!$F$25</f>
        <v>105</v>
      </c>
      <c r="E12" s="67" t="s">
        <v>340</v>
      </c>
      <c r="F12" s="88">
        <v>310</v>
      </c>
      <c r="G12" s="89">
        <f>F12*D12*B12*1.1</f>
        <v>62658.750000000007</v>
      </c>
      <c r="H12" s="67"/>
    </row>
    <row r="13" spans="1:10" ht="21.75" x14ac:dyDescent="0.25">
      <c r="A13" s="66" t="s">
        <v>428</v>
      </c>
      <c r="B13" s="62">
        <v>0.9</v>
      </c>
      <c r="C13" s="62" t="s">
        <v>37</v>
      </c>
      <c r="D13" s="67">
        <f>B13*DADOS_INICIAIS!$F$9</f>
        <v>19359.252000000008</v>
      </c>
      <c r="E13" s="67" t="s">
        <v>2</v>
      </c>
      <c r="F13" s="88">
        <v>191.17</v>
      </c>
      <c r="G13" s="89">
        <f>F13*D13*1.1</f>
        <v>4070999.0253240014</v>
      </c>
      <c r="H13" s="67" t="s">
        <v>549</v>
      </c>
    </row>
    <row r="14" spans="1:10" ht="21.75" x14ac:dyDescent="0.25">
      <c r="A14" s="66" t="s">
        <v>172</v>
      </c>
      <c r="B14" s="62">
        <v>12.5</v>
      </c>
      <c r="C14" s="62" t="s">
        <v>171</v>
      </c>
      <c r="D14" s="67">
        <f>D10+D11</f>
        <v>17778.379800000002</v>
      </c>
      <c r="E14" s="67" t="s">
        <v>2</v>
      </c>
      <c r="F14" s="88">
        <f>B14</f>
        <v>12.5</v>
      </c>
      <c r="G14" s="89">
        <f>F14*D14*1.1</f>
        <v>244452.72225000005</v>
      </c>
      <c r="H14" s="67"/>
    </row>
    <row r="15" spans="1:10" ht="21.75" x14ac:dyDescent="0.25">
      <c r="A15" s="66" t="s">
        <v>25</v>
      </c>
      <c r="B15" s="62">
        <v>35</v>
      </c>
      <c r="C15" s="62" t="s">
        <v>171</v>
      </c>
      <c r="D15" s="67">
        <f>D10+D11</f>
        <v>17778.379800000002</v>
      </c>
      <c r="E15" s="67" t="s">
        <v>2</v>
      </c>
      <c r="F15" s="88">
        <v>36</v>
      </c>
      <c r="G15" s="89">
        <f>F15*D15*1.1</f>
        <v>704023.84008000011</v>
      </c>
      <c r="H15" s="67"/>
    </row>
    <row r="16" spans="1:10" ht="21.75" x14ac:dyDescent="0.25">
      <c r="A16" s="66" t="s">
        <v>550</v>
      </c>
      <c r="B16" s="62">
        <v>40</v>
      </c>
      <c r="C16" s="62" t="s">
        <v>171</v>
      </c>
      <c r="D16" s="67">
        <f>D13</f>
        <v>19359.252000000008</v>
      </c>
      <c r="E16" s="67" t="s">
        <v>2</v>
      </c>
      <c r="F16" s="88">
        <v>40</v>
      </c>
      <c r="G16" s="89">
        <f>F16*D16*1.1</f>
        <v>851807.08800000045</v>
      </c>
      <c r="H16" s="67"/>
    </row>
    <row r="17" spans="1:12" ht="21.75" x14ac:dyDescent="0.25">
      <c r="A17" s="301" t="s">
        <v>17</v>
      </c>
      <c r="B17" s="301"/>
      <c r="C17" s="301"/>
      <c r="D17" s="301"/>
      <c r="E17" s="301"/>
      <c r="F17" s="301"/>
      <c r="G17" s="90">
        <f>SUM(G10:G16)</f>
        <v>6993312.5498940023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hidden="1" x14ac:dyDescent="0.25">
      <c r="A19" s="52" t="s">
        <v>312</v>
      </c>
      <c r="B19" s="52"/>
      <c r="C19" s="52"/>
      <c r="D19" s="53"/>
      <c r="E19" s="53"/>
      <c r="F19" s="54"/>
      <c r="G19" s="53"/>
      <c r="H19" s="53"/>
    </row>
    <row r="20" spans="1:12" ht="21.75" hidden="1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hidden="1" x14ac:dyDescent="0.25">
      <c r="A21" s="63" t="s">
        <v>14</v>
      </c>
      <c r="B21" s="306" t="s">
        <v>5</v>
      </c>
      <c r="C21" s="307"/>
      <c r="D21" s="306" t="s">
        <v>18</v>
      </c>
      <c r="E21" s="307"/>
      <c r="F21" s="65" t="s">
        <v>118</v>
      </c>
      <c r="G21" s="71" t="s">
        <v>16</v>
      </c>
      <c r="H21" s="90" t="s">
        <v>301</v>
      </c>
    </row>
    <row r="22" spans="1:12" ht="21.75" hidden="1" x14ac:dyDescent="0.25">
      <c r="A22" s="66" t="s">
        <v>182</v>
      </c>
      <c r="B22" s="62">
        <v>1</v>
      </c>
      <c r="C22" s="62" t="s">
        <v>181</v>
      </c>
      <c r="D22" s="67">
        <f>B22*DADOS_INICIAIS!$G$33</f>
        <v>9042.31</v>
      </c>
      <c r="E22" s="67" t="s">
        <v>2</v>
      </c>
      <c r="F22" s="88">
        <v>45</v>
      </c>
      <c r="G22" s="89">
        <f>F22*D22*1.1</f>
        <v>447594.34499999997</v>
      </c>
      <c r="H22" s="67"/>
    </row>
    <row r="23" spans="1:12" ht="21.75" hidden="1" x14ac:dyDescent="0.25">
      <c r="A23" s="78" t="s">
        <v>180</v>
      </c>
      <c r="B23" s="62">
        <v>0.4</v>
      </c>
      <c r="C23" s="62" t="s">
        <v>179</v>
      </c>
      <c r="D23" s="67">
        <f>B23*DADOS_INICIAIS!$G$32</f>
        <v>1005.3600000000001</v>
      </c>
      <c r="E23" s="67" t="s">
        <v>2</v>
      </c>
      <c r="F23" s="88">
        <v>45</v>
      </c>
      <c r="G23" s="89">
        <f>F23*D23*1.1</f>
        <v>49765.320000000007</v>
      </c>
      <c r="H23" s="67"/>
    </row>
    <row r="24" spans="1:12" ht="21.75" hidden="1" x14ac:dyDescent="0.25">
      <c r="A24" s="78" t="s">
        <v>178</v>
      </c>
      <c r="B24" s="62">
        <v>1.62</v>
      </c>
      <c r="C24" s="62" t="s">
        <v>177</v>
      </c>
      <c r="D24" s="67">
        <f>B24*(DADOS_INICIAIS!$G$30*(DADOS_INICIAIS!$G$27+DADOS_INICIAIS!$G$28))*0.3</f>
        <v>14547.068640000001</v>
      </c>
      <c r="E24" s="67" t="s">
        <v>3</v>
      </c>
      <c r="F24" s="88">
        <v>45</v>
      </c>
      <c r="G24" s="89">
        <f>F24*D24*1.1</f>
        <v>720079.89768000005</v>
      </c>
      <c r="H24" s="67"/>
    </row>
    <row r="25" spans="1:12" ht="21.75" hidden="1" x14ac:dyDescent="0.25">
      <c r="A25" s="78" t="s">
        <v>313</v>
      </c>
      <c r="B25" s="62">
        <v>1.65</v>
      </c>
      <c r="C25" s="62" t="s">
        <v>177</v>
      </c>
      <c r="D25" s="67">
        <f>B25*(DADOS_INICIAIS!$G$30*(DADOS_INICIAIS!$G$27+DADOS_INICIAIS!$G$28))*0.7</f>
        <v>34571.737200000003</v>
      </c>
      <c r="E25" s="67"/>
      <c r="F25" s="88">
        <v>220</v>
      </c>
      <c r="G25" s="89">
        <f t="shared" ref="G25:G30" si="0">F25*D25*1.1</f>
        <v>8366360.402400001</v>
      </c>
      <c r="H25" s="67"/>
      <c r="J25" s="55">
        <f>D25/(D30+D25)</f>
        <v>0.52312508700584159</v>
      </c>
    </row>
    <row r="26" spans="1:12" ht="21.75" hidden="1" x14ac:dyDescent="0.25">
      <c r="A26" s="78" t="s">
        <v>176</v>
      </c>
      <c r="B26" s="62">
        <v>0.2</v>
      </c>
      <c r="C26" s="62" t="s">
        <v>37</v>
      </c>
      <c r="D26" s="67">
        <f>B26*DADOS_INICIAIS!$G$9</f>
        <v>5511.8900000000012</v>
      </c>
      <c r="E26" s="67" t="s">
        <v>3</v>
      </c>
      <c r="F26" s="88">
        <v>70</v>
      </c>
      <c r="G26" s="89">
        <f t="shared" si="0"/>
        <v>424415.53000000014</v>
      </c>
      <c r="H26" s="67"/>
      <c r="J26" s="55">
        <f>1-J25</f>
        <v>0.47687491299415841</v>
      </c>
    </row>
    <row r="27" spans="1:12" ht="21.75" hidden="1" x14ac:dyDescent="0.25">
      <c r="A27" s="66" t="s">
        <v>175</v>
      </c>
      <c r="B27" s="62">
        <v>0.8</v>
      </c>
      <c r="C27" s="62" t="s">
        <v>174</v>
      </c>
      <c r="D27" s="67">
        <f>B27*DADOS_INICIAIS!$G$30</f>
        <v>1408.576</v>
      </c>
      <c r="E27" s="67" t="s">
        <v>22</v>
      </c>
      <c r="F27" s="88">
        <v>45</v>
      </c>
      <c r="G27" s="89">
        <f t="shared" si="0"/>
        <v>69724.512000000002</v>
      </c>
      <c r="H27" s="67"/>
    </row>
    <row r="28" spans="1:12" ht="21.75" hidden="1" x14ac:dyDescent="0.25">
      <c r="A28" s="66" t="s">
        <v>173</v>
      </c>
      <c r="B28" s="62">
        <v>1.75</v>
      </c>
      <c r="C28" s="62" t="s">
        <v>315</v>
      </c>
      <c r="D28" s="67">
        <f>'SISTEMAS ESPECIAIS'!B14</f>
        <v>62</v>
      </c>
      <c r="E28" s="67" t="s">
        <v>340</v>
      </c>
      <c r="F28" s="88">
        <v>210</v>
      </c>
      <c r="G28" s="89"/>
      <c r="H28" s="67"/>
    </row>
    <row r="29" spans="1:12" ht="21.75" hidden="1" x14ac:dyDescent="0.25">
      <c r="A29" s="66" t="s">
        <v>355</v>
      </c>
      <c r="B29" s="62"/>
      <c r="C29" s="62"/>
      <c r="D29" s="67">
        <f>D28</f>
        <v>62</v>
      </c>
      <c r="E29" s="67" t="s">
        <v>3</v>
      </c>
      <c r="F29" s="88">
        <v>1800</v>
      </c>
      <c r="G29" s="89">
        <f t="shared" si="0"/>
        <v>122760.00000000001</v>
      </c>
      <c r="H29" s="67"/>
    </row>
    <row r="30" spans="1:12" ht="21.75" hidden="1" x14ac:dyDescent="0.25">
      <c r="A30" s="66" t="s">
        <v>172</v>
      </c>
      <c r="B30" s="62">
        <v>12.5</v>
      </c>
      <c r="C30" s="62" t="s">
        <v>171</v>
      </c>
      <c r="D30" s="67">
        <f>D23+D24+D22+D26+D27</f>
        <v>31515.204640000004</v>
      </c>
      <c r="E30" s="67" t="s">
        <v>26</v>
      </c>
      <c r="F30" s="88">
        <f>B30</f>
        <v>12.5</v>
      </c>
      <c r="G30" s="89">
        <f t="shared" si="0"/>
        <v>433334.06380000006</v>
      </c>
      <c r="H30" s="67"/>
    </row>
    <row r="31" spans="1:12" ht="21.75" hidden="1" x14ac:dyDescent="0.25">
      <c r="A31" s="66" t="s">
        <v>25</v>
      </c>
      <c r="B31" s="62">
        <v>35</v>
      </c>
      <c r="C31" s="62" t="s">
        <v>171</v>
      </c>
      <c r="D31" s="67">
        <f>D23+D24+D22+D26+D27</f>
        <v>31515.204640000004</v>
      </c>
      <c r="E31" s="67" t="s">
        <v>2</v>
      </c>
      <c r="F31" s="88">
        <v>35</v>
      </c>
      <c r="G31" s="89">
        <f>F31*D31*1.1</f>
        <v>1213335.3786400002</v>
      </c>
      <c r="H31" s="67"/>
    </row>
    <row r="32" spans="1:12" ht="21.75" hidden="1" x14ac:dyDescent="0.25">
      <c r="A32" s="301" t="s">
        <v>17</v>
      </c>
      <c r="B32" s="301"/>
      <c r="C32" s="301"/>
      <c r="D32" s="301"/>
      <c r="E32" s="301"/>
      <c r="F32" s="301"/>
      <c r="G32" s="90">
        <f>SUM(G22:G31)</f>
        <v>11847369.449519999</v>
      </c>
      <c r="H32" s="90"/>
    </row>
    <row r="35" spans="1:8" ht="21.75" x14ac:dyDescent="0.25">
      <c r="A35" s="311" t="s">
        <v>169</v>
      </c>
      <c r="B35" s="312"/>
      <c r="C35" s="312"/>
      <c r="D35" s="312"/>
      <c r="E35" s="312"/>
      <c r="F35" s="313"/>
      <c r="G35" s="91">
        <f>G17</f>
        <v>6993312.5498940023</v>
      </c>
      <c r="H35" s="91">
        <f>G35/DADOS_INICIAIS!F9</f>
        <v>325.11490087037453</v>
      </c>
    </row>
    <row r="38" spans="1:8" x14ac:dyDescent="0.25">
      <c r="D38" s="81">
        <f>D15*2</f>
        <v>35556.759600000005</v>
      </c>
      <c r="G38" s="198">
        <f>G35/1.1</f>
        <v>6357556.8635400012</v>
      </c>
      <c r="H38" s="55">
        <f>G38/DADOS_INICIAIS!G9</f>
        <v>230.68518651642177</v>
      </c>
    </row>
    <row r="40" spans="1:8" x14ac:dyDescent="0.25">
      <c r="A40" s="55">
        <v>1496.49</v>
      </c>
    </row>
    <row r="44" spans="1:8" x14ac:dyDescent="0.25">
      <c r="C44" s="55">
        <v>4139</v>
      </c>
      <c r="D44" s="81" t="e">
        <f>C44/#REF!</f>
        <v>#REF!</v>
      </c>
    </row>
  </sheetData>
  <mergeCells count="8">
    <mergeCell ref="A32:F32"/>
    <mergeCell ref="A35:F35"/>
    <mergeCell ref="A3:H3"/>
    <mergeCell ref="B9:C9"/>
    <mergeCell ref="D9:E9"/>
    <mergeCell ref="A17:F17"/>
    <mergeCell ref="B21:C21"/>
    <mergeCell ref="D21:E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62"/>
  <sheetViews>
    <sheetView showGridLines="0" topLeftCell="A44" zoomScale="85" zoomScaleNormal="85" zoomScaleSheetLayoutView="95" workbookViewId="0">
      <selection activeCell="B56" sqref="B56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02" t="s">
        <v>257</v>
      </c>
      <c r="B2" s="303"/>
      <c r="C2" s="303"/>
      <c r="D2" s="303"/>
      <c r="E2" s="304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256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06" t="s">
        <v>5</v>
      </c>
      <c r="C6" s="307"/>
      <c r="D6" s="71" t="s">
        <v>16</v>
      </c>
      <c r="E6" s="59"/>
    </row>
    <row r="7" spans="1:7" s="55" customFormat="1" ht="21.75" x14ac:dyDescent="0.25">
      <c r="A7" s="66" t="s">
        <v>255</v>
      </c>
      <c r="B7" s="62">
        <v>5.5</v>
      </c>
      <c r="C7" s="62" t="s">
        <v>6</v>
      </c>
      <c r="D7" s="89">
        <f>B7*DADOS_INICIAIS!$F$9*1.1</f>
        <v>130137.19400000005</v>
      </c>
      <c r="E7" s="57"/>
    </row>
    <row r="8" spans="1:7" s="55" customFormat="1" ht="21.75" x14ac:dyDescent="0.25">
      <c r="A8" s="66" t="s">
        <v>254</v>
      </c>
      <c r="B8" s="62">
        <v>18</v>
      </c>
      <c r="C8" s="62" t="s">
        <v>6</v>
      </c>
      <c r="D8" s="89">
        <f>B8*DADOS_INICIAIS!$F$9*1.1</f>
        <v>425903.54400000011</v>
      </c>
      <c r="E8" s="57"/>
    </row>
    <row r="9" spans="1:7" s="55" customFormat="1" ht="21.75" x14ac:dyDescent="0.25">
      <c r="A9" s="66" t="s">
        <v>253</v>
      </c>
      <c r="B9" s="62">
        <v>30</v>
      </c>
      <c r="C9" s="62" t="s">
        <v>6</v>
      </c>
      <c r="D9" s="89">
        <f>B9*DADOS_INICIAIS!$F$9*1.1</f>
        <v>709839.24000000022</v>
      </c>
      <c r="E9" s="57"/>
    </row>
    <row r="10" spans="1:7" s="55" customFormat="1" ht="21.75" x14ac:dyDescent="0.25">
      <c r="A10" s="66" t="s">
        <v>252</v>
      </c>
      <c r="B10" s="62">
        <v>15</v>
      </c>
      <c r="C10" s="62" t="s">
        <v>6</v>
      </c>
      <c r="D10" s="89">
        <f>B10*DADOS_INICIAIS!$F$9*1.1</f>
        <v>354919.62000000011</v>
      </c>
      <c r="E10" s="57"/>
    </row>
    <row r="11" spans="1:7" s="55" customFormat="1" ht="21.75" x14ac:dyDescent="0.25">
      <c r="A11" s="66" t="s">
        <v>251</v>
      </c>
      <c r="B11" s="62">
        <v>12</v>
      </c>
      <c r="C11" s="62" t="s">
        <v>6</v>
      </c>
      <c r="D11" s="89">
        <f>B11*DADOS_INICIAIS!$F$9*1.1</f>
        <v>283935.69600000011</v>
      </c>
      <c r="E11" s="57"/>
    </row>
    <row r="12" spans="1:7" s="55" customFormat="1" ht="21.75" x14ac:dyDescent="0.25">
      <c r="A12" s="66" t="s">
        <v>250</v>
      </c>
      <c r="B12" s="62">
        <v>5</v>
      </c>
      <c r="C12" s="62" t="s">
        <v>6</v>
      </c>
      <c r="D12" s="89">
        <f>B12*DADOS_INICIAIS!$F$9*1.1</f>
        <v>118306.54000000004</v>
      </c>
      <c r="E12" s="57"/>
    </row>
    <row r="13" spans="1:7" s="55" customFormat="1" ht="26.25" customHeight="1" x14ac:dyDescent="0.25">
      <c r="A13" s="70" t="s">
        <v>263</v>
      </c>
      <c r="B13" s="67">
        <v>1</v>
      </c>
      <c r="C13" s="290">
        <v>185000</v>
      </c>
      <c r="D13" s="89">
        <f>B13*C13</f>
        <v>185000</v>
      </c>
      <c r="E13" s="288"/>
    </row>
    <row r="14" spans="1:7" s="55" customFormat="1" ht="26.25" customHeight="1" x14ac:dyDescent="0.25">
      <c r="A14" s="70" t="s">
        <v>343</v>
      </c>
      <c r="B14" s="67">
        <v>1</v>
      </c>
      <c r="C14" s="290">
        <v>310000</v>
      </c>
      <c r="D14" s="89">
        <f>B14*C14</f>
        <v>310000</v>
      </c>
      <c r="E14" s="288"/>
    </row>
    <row r="15" spans="1:7" s="55" customFormat="1" ht="26.25" customHeight="1" x14ac:dyDescent="0.25">
      <c r="A15" s="70" t="s">
        <v>262</v>
      </c>
      <c r="B15" s="67">
        <f>DADOS_INICIAIS!F21</f>
        <v>60</v>
      </c>
      <c r="C15" s="188">
        <v>547</v>
      </c>
      <c r="D15" s="89">
        <f t="shared" ref="D15:D16" si="0">B15*C15*1.1</f>
        <v>36102</v>
      </c>
      <c r="E15" s="288"/>
    </row>
    <row r="16" spans="1:7" s="55" customFormat="1" ht="26.25" customHeight="1" x14ac:dyDescent="0.25">
      <c r="A16" s="70" t="s">
        <v>327</v>
      </c>
      <c r="B16" s="67">
        <v>0</v>
      </c>
      <c r="C16" s="188">
        <v>10500</v>
      </c>
      <c r="D16" s="89">
        <f t="shared" si="0"/>
        <v>0</v>
      </c>
      <c r="E16" s="288"/>
    </row>
    <row r="17" spans="1:5" s="55" customFormat="1" ht="21.75" x14ac:dyDescent="0.25">
      <c r="A17" s="66" t="s">
        <v>249</v>
      </c>
      <c r="B17" s="62">
        <v>65</v>
      </c>
      <c r="C17" s="62" t="s">
        <v>6</v>
      </c>
      <c r="D17" s="89">
        <f>B17*DADOS_INICIAIS!$F$9*1.1</f>
        <v>1537985.0200000005</v>
      </c>
      <c r="E17" s="57"/>
    </row>
    <row r="18" spans="1:5" s="55" customFormat="1" ht="21.75" x14ac:dyDescent="0.25">
      <c r="A18" s="301" t="s">
        <v>17</v>
      </c>
      <c r="B18" s="301"/>
      <c r="C18" s="301"/>
      <c r="D18" s="90">
        <f>SUM(D7:D17)</f>
        <v>4092128.8540000012</v>
      </c>
      <c r="E18" s="60"/>
    </row>
    <row r="19" spans="1:5" s="55" customFormat="1" ht="21.75" x14ac:dyDescent="0.25">
      <c r="A19" s="305"/>
      <c r="B19" s="305"/>
      <c r="C19" s="305"/>
      <c r="D19" s="100"/>
      <c r="E19" s="59"/>
    </row>
    <row r="20" spans="1:5" s="55" customFormat="1" ht="21.75" x14ac:dyDescent="0.25">
      <c r="A20" s="52" t="s">
        <v>248</v>
      </c>
      <c r="B20" s="53"/>
      <c r="C20" s="53"/>
      <c r="D20" s="98"/>
      <c r="E20" s="53"/>
    </row>
    <row r="21" spans="1:5" s="55" customFormat="1" ht="21.75" x14ac:dyDescent="0.25">
      <c r="A21" s="56"/>
      <c r="B21" s="57"/>
      <c r="C21" s="57"/>
      <c r="D21" s="100"/>
      <c r="E21" s="59"/>
    </row>
    <row r="22" spans="1:5" s="55" customFormat="1" ht="42" customHeight="1" x14ac:dyDescent="0.25">
      <c r="A22" s="63" t="s">
        <v>14</v>
      </c>
      <c r="B22" s="306" t="s">
        <v>5</v>
      </c>
      <c r="C22" s="307"/>
      <c r="D22" s="90" t="s">
        <v>16</v>
      </c>
      <c r="E22" s="59"/>
    </row>
    <row r="23" spans="1:5" s="55" customFormat="1" ht="21.75" x14ac:dyDescent="0.25">
      <c r="A23" s="66" t="s">
        <v>247</v>
      </c>
      <c r="B23" s="62">
        <v>22</v>
      </c>
      <c r="C23" s="62" t="s">
        <v>6</v>
      </c>
      <c r="D23" s="89">
        <f>B23*DADOS_INICIAIS!$F$9*1.1</f>
        <v>520548.77600000019</v>
      </c>
      <c r="E23" s="57"/>
    </row>
    <row r="24" spans="1:5" s="55" customFormat="1" ht="21.75" x14ac:dyDescent="0.25">
      <c r="A24" s="66" t="s">
        <v>246</v>
      </c>
      <c r="B24" s="62">
        <v>20</v>
      </c>
      <c r="C24" s="62" t="s">
        <v>6</v>
      </c>
      <c r="D24" s="89">
        <f>B24*DADOS_INICIAIS!$F$9*1.1</f>
        <v>473226.16000000015</v>
      </c>
      <c r="E24" s="57"/>
    </row>
    <row r="25" spans="1:5" s="55" customFormat="1" ht="21.75" x14ac:dyDescent="0.25">
      <c r="A25" s="66" t="s">
        <v>245</v>
      </c>
      <c r="B25" s="62">
        <v>10</v>
      </c>
      <c r="C25" s="62" t="s">
        <v>6</v>
      </c>
      <c r="D25" s="89">
        <f>B25*DADOS_INICIAIS!$F$9*1.1</f>
        <v>236613.08000000007</v>
      </c>
      <c r="E25" s="57"/>
    </row>
    <row r="26" spans="1:5" s="55" customFormat="1" ht="21.75" x14ac:dyDescent="0.25">
      <c r="A26" s="66" t="s">
        <v>244</v>
      </c>
      <c r="B26" s="62">
        <v>17</v>
      </c>
      <c r="C26" s="62" t="s">
        <v>6</v>
      </c>
      <c r="D26" s="89">
        <f>B26*DADOS_INICIAIS!$F$9*1.1</f>
        <v>402242.23600000015</v>
      </c>
      <c r="E26" s="57"/>
    </row>
    <row r="27" spans="1:5" s="55" customFormat="1" ht="21.75" x14ac:dyDescent="0.25">
      <c r="A27" s="66" t="s">
        <v>614</v>
      </c>
      <c r="B27" s="62">
        <v>1</v>
      </c>
      <c r="C27" s="62" t="s">
        <v>6</v>
      </c>
      <c r="D27" s="89">
        <f>B27*DADOS_INICIAIS!$F$9*1.1</f>
        <v>23661.308000000008</v>
      </c>
      <c r="E27" s="57"/>
    </row>
    <row r="28" spans="1:5" s="55" customFormat="1" ht="26.25" customHeight="1" x14ac:dyDescent="0.25">
      <c r="A28" s="70" t="s">
        <v>615</v>
      </c>
      <c r="B28" s="67"/>
      <c r="C28" s="188">
        <v>30000</v>
      </c>
      <c r="D28" s="89">
        <f t="shared" ref="D28:D32" si="1">B28*C28*1.1</f>
        <v>0</v>
      </c>
      <c r="E28" s="57"/>
    </row>
    <row r="29" spans="1:5" s="55" customFormat="1" ht="26.25" customHeight="1" x14ac:dyDescent="0.25">
      <c r="A29" s="70" t="s">
        <v>329</v>
      </c>
      <c r="B29" s="67"/>
      <c r="C29" s="188">
        <v>110000</v>
      </c>
      <c r="D29" s="89">
        <f t="shared" si="1"/>
        <v>0</v>
      </c>
      <c r="E29" s="57"/>
    </row>
    <row r="30" spans="1:5" s="55" customFormat="1" ht="26.25" customHeight="1" x14ac:dyDescent="0.25">
      <c r="A30" s="70" t="s">
        <v>616</v>
      </c>
      <c r="B30" s="67">
        <f>2*2</f>
        <v>4</v>
      </c>
      <c r="C30" s="290">
        <v>22500</v>
      </c>
      <c r="D30" s="89">
        <f t="shared" si="1"/>
        <v>99000.000000000015</v>
      </c>
      <c r="E30" s="57" t="s">
        <v>617</v>
      </c>
    </row>
    <row r="31" spans="1:5" s="55" customFormat="1" ht="26.25" customHeight="1" x14ac:dyDescent="0.25">
      <c r="A31" s="66" t="s">
        <v>619</v>
      </c>
      <c r="B31" s="67">
        <f>2</f>
        <v>2</v>
      </c>
      <c r="C31" s="290">
        <v>6800</v>
      </c>
      <c r="D31" s="89">
        <f t="shared" si="1"/>
        <v>14960.000000000002</v>
      </c>
      <c r="E31" s="57"/>
    </row>
    <row r="32" spans="1:5" s="55" customFormat="1" ht="21.75" x14ac:dyDescent="0.25">
      <c r="A32" s="66" t="s">
        <v>620</v>
      </c>
      <c r="B32" s="67">
        <v>4</v>
      </c>
      <c r="C32" s="289">
        <v>5240</v>
      </c>
      <c r="D32" s="89">
        <f t="shared" si="1"/>
        <v>23056.000000000004</v>
      </c>
      <c r="E32" s="57"/>
    </row>
    <row r="33" spans="1:7" s="55" customFormat="1" ht="21.75" x14ac:dyDescent="0.25">
      <c r="A33" s="66" t="s">
        <v>243</v>
      </c>
      <c r="B33" s="62">
        <v>55</v>
      </c>
      <c r="C33" s="62" t="s">
        <v>6</v>
      </c>
      <c r="D33" s="89">
        <f>B33*DADOS_INICIAIS!$F$9*1.1</f>
        <v>1301371.9400000004</v>
      </c>
      <c r="E33" s="57"/>
    </row>
    <row r="34" spans="1:7" s="55" customFormat="1" ht="21.75" x14ac:dyDescent="0.25">
      <c r="A34" s="301" t="s">
        <v>17</v>
      </c>
      <c r="B34" s="301"/>
      <c r="C34" s="301"/>
      <c r="D34" s="90">
        <f>SUM(D23:D33)</f>
        <v>3094679.5000000009</v>
      </c>
      <c r="E34" s="60"/>
    </row>
    <row r="35" spans="1:7" s="55" customFormat="1" ht="21.75" x14ac:dyDescent="0.25">
      <c r="A35" s="305"/>
      <c r="B35" s="305"/>
      <c r="C35" s="305"/>
      <c r="D35" s="100"/>
      <c r="E35" s="59"/>
    </row>
    <row r="36" spans="1:7" s="55" customFormat="1" ht="21.75" x14ac:dyDescent="0.25">
      <c r="A36" s="52" t="s">
        <v>608</v>
      </c>
      <c r="B36" s="53"/>
      <c r="C36" s="53"/>
      <c r="D36" s="98"/>
      <c r="E36" s="53"/>
    </row>
    <row r="37" spans="1:7" s="55" customFormat="1" ht="21.75" x14ac:dyDescent="0.25">
      <c r="A37" s="56"/>
      <c r="B37" s="57"/>
      <c r="C37" s="57"/>
      <c r="D37" s="100"/>
      <c r="E37" s="59"/>
    </row>
    <row r="38" spans="1:7" s="55" customFormat="1" ht="42" customHeight="1" x14ac:dyDescent="0.25">
      <c r="A38" s="63" t="s">
        <v>14</v>
      </c>
      <c r="B38" s="306" t="s">
        <v>5</v>
      </c>
      <c r="C38" s="307"/>
      <c r="D38" s="90" t="s">
        <v>16</v>
      </c>
      <c r="E38" s="59"/>
    </row>
    <row r="39" spans="1:7" s="55" customFormat="1" ht="26.25" customHeight="1" x14ac:dyDescent="0.25">
      <c r="A39" s="70" t="s">
        <v>609</v>
      </c>
      <c r="B39" s="62">
        <v>20</v>
      </c>
      <c r="C39" s="62" t="s">
        <v>6</v>
      </c>
      <c r="D39" s="89">
        <f>SUM(D40:D41)</f>
        <v>400062.74598400004</v>
      </c>
      <c r="E39" s="57"/>
    </row>
    <row r="40" spans="1:7" s="55" customFormat="1" ht="26.25" customHeight="1" x14ac:dyDescent="0.25">
      <c r="A40" s="70" t="s">
        <v>610</v>
      </c>
      <c r="B40" s="62">
        <f>3*2*2*14+4*2*2+2*2*2+15+7</f>
        <v>214</v>
      </c>
      <c r="C40" s="62">
        <v>1683.1110560000002</v>
      </c>
      <c r="D40" s="89">
        <f>B40*C40</f>
        <v>360185.76598400006</v>
      </c>
      <c r="E40" s="57"/>
    </row>
    <row r="41" spans="1:7" s="55" customFormat="1" ht="26.25" customHeight="1" x14ac:dyDescent="0.25">
      <c r="A41" s="70" t="s">
        <v>611</v>
      </c>
      <c r="B41" s="62">
        <f>15+7</f>
        <v>22</v>
      </c>
      <c r="C41" s="62">
        <v>1812.59</v>
      </c>
      <c r="D41" s="89">
        <f>B41*C41</f>
        <v>39876.979999999996</v>
      </c>
      <c r="E41" s="57"/>
    </row>
    <row r="42" spans="1:7" s="55" customFormat="1" ht="26.25" customHeight="1" x14ac:dyDescent="0.25">
      <c r="A42" s="70" t="s">
        <v>612</v>
      </c>
      <c r="B42" s="62">
        <v>16</v>
      </c>
      <c r="C42" s="62" t="s">
        <v>6</v>
      </c>
      <c r="D42" s="89">
        <f>B42*DADOS_INICIAIS!$F$9*1.1</f>
        <v>378580.92800000013</v>
      </c>
      <c r="E42" s="57"/>
    </row>
    <row r="43" spans="1:7" s="55" customFormat="1" ht="26.25" customHeight="1" x14ac:dyDescent="0.25">
      <c r="A43" s="70" t="s">
        <v>613</v>
      </c>
      <c r="B43" s="62">
        <f>15+7</f>
        <v>22</v>
      </c>
      <c r="C43" s="62">
        <v>3500</v>
      </c>
      <c r="D43" s="89">
        <f>B43*C43</f>
        <v>77000</v>
      </c>
      <c r="E43" s="57"/>
      <c r="F43" s="55">
        <f>1.3*0.55*38</f>
        <v>27.17</v>
      </c>
    </row>
    <row r="44" spans="1:7" s="55" customFormat="1" ht="26.25" customHeight="1" x14ac:dyDescent="0.25">
      <c r="A44" s="70" t="s">
        <v>25</v>
      </c>
      <c r="B44" s="62">
        <v>10</v>
      </c>
      <c r="C44" s="62" t="s">
        <v>6</v>
      </c>
      <c r="D44" s="89">
        <f>B44*DADOS_INICIAIS!$F$9*1.1</f>
        <v>236613.08000000007</v>
      </c>
      <c r="E44" s="57"/>
      <c r="F44" s="55">
        <f>F43*1.5</f>
        <v>40.755000000000003</v>
      </c>
      <c r="G44" s="55">
        <f>F44*2500</f>
        <v>101887.5</v>
      </c>
    </row>
    <row r="45" spans="1:7" s="55" customFormat="1" ht="21.75" x14ac:dyDescent="0.25">
      <c r="A45" s="301" t="s">
        <v>17</v>
      </c>
      <c r="B45" s="301"/>
      <c r="C45" s="301"/>
      <c r="D45" s="90">
        <f>SUM(D40:D44)</f>
        <v>1092256.7539840003</v>
      </c>
      <c r="E45" s="60">
        <f>D45/DADOS_INICIAIS!$F$9</f>
        <v>50.778360578476892</v>
      </c>
    </row>
    <row r="46" spans="1:7" s="55" customFormat="1" ht="21.75" x14ac:dyDescent="0.25">
      <c r="A46" s="305"/>
      <c r="B46" s="305"/>
      <c r="C46" s="305"/>
      <c r="D46" s="100"/>
      <c r="E46" s="59"/>
    </row>
    <row r="47" spans="1:7" s="55" customFormat="1" ht="21.75" x14ac:dyDescent="0.25">
      <c r="A47" s="52" t="s">
        <v>242</v>
      </c>
      <c r="B47" s="53"/>
      <c r="C47" s="53"/>
      <c r="D47" s="98"/>
      <c r="E47" s="53"/>
    </row>
    <row r="48" spans="1:7" s="55" customFormat="1" ht="21.75" x14ac:dyDescent="0.25">
      <c r="A48" s="56"/>
      <c r="B48" s="57"/>
      <c r="C48" s="57"/>
      <c r="D48" s="100"/>
      <c r="E48" s="59"/>
    </row>
    <row r="49" spans="1:9" s="55" customFormat="1" ht="42" customHeight="1" x14ac:dyDescent="0.25">
      <c r="A49" s="63" t="s">
        <v>14</v>
      </c>
      <c r="B49" s="306" t="s">
        <v>5</v>
      </c>
      <c r="C49" s="307"/>
      <c r="D49" s="90" t="s">
        <v>16</v>
      </c>
      <c r="E49" s="59"/>
    </row>
    <row r="50" spans="1:9" s="55" customFormat="1" ht="26.25" customHeight="1" x14ac:dyDescent="0.25">
      <c r="A50" s="70" t="s">
        <v>621</v>
      </c>
      <c r="B50" s="62">
        <v>5</v>
      </c>
      <c r="C50" s="62" t="s">
        <v>6</v>
      </c>
      <c r="D50" s="89">
        <f>B50*DADOS_INICIAIS!$F$9*1.1</f>
        <v>118306.54000000004</v>
      </c>
      <c r="E50" s="57"/>
    </row>
    <row r="51" spans="1:9" s="55" customFormat="1" ht="26.25" customHeight="1" x14ac:dyDescent="0.25">
      <c r="A51" s="66" t="s">
        <v>622</v>
      </c>
      <c r="B51" s="67">
        <v>2</v>
      </c>
      <c r="C51" s="290">
        <v>22500</v>
      </c>
      <c r="D51" s="89">
        <f t="shared" ref="D51" si="2">B51*C51*1.1</f>
        <v>49500.000000000007</v>
      </c>
      <c r="E51" s="57" t="s">
        <v>618</v>
      </c>
    </row>
    <row r="52" spans="1:9" s="55" customFormat="1" ht="26.25" customHeight="1" x14ac:dyDescent="0.25">
      <c r="A52" s="70" t="s">
        <v>623</v>
      </c>
      <c r="B52" s="62">
        <v>4.5</v>
      </c>
      <c r="C52" s="62" t="s">
        <v>6</v>
      </c>
      <c r="D52" s="89">
        <f>B52*DADOS_INICIAIS!$F$9*1.1</f>
        <v>106475.88600000003</v>
      </c>
      <c r="E52" s="57"/>
    </row>
    <row r="53" spans="1:9" s="55" customFormat="1" ht="26.25" customHeight="1" x14ac:dyDescent="0.25">
      <c r="A53" s="70" t="s">
        <v>624</v>
      </c>
      <c r="B53" s="62">
        <v>2.5</v>
      </c>
      <c r="C53" s="62" t="s">
        <v>6</v>
      </c>
      <c r="D53" s="89">
        <f>B53*DADOS_INICIAIS!$F$9*1.1</f>
        <v>59153.270000000019</v>
      </c>
      <c r="E53" s="57"/>
    </row>
    <row r="54" spans="1:9" s="55" customFormat="1" ht="21.75" x14ac:dyDescent="0.25">
      <c r="A54" s="70" t="s">
        <v>240</v>
      </c>
      <c r="B54" s="62">
        <v>10</v>
      </c>
      <c r="C54" s="62" t="s">
        <v>6</v>
      </c>
      <c r="D54" s="89">
        <f>B54*DADOS_INICIAIS!$F$9*1.1</f>
        <v>236613.08000000007</v>
      </c>
      <c r="E54" s="57"/>
    </row>
    <row r="55" spans="1:9" s="55" customFormat="1" ht="21.75" x14ac:dyDescent="0.25">
      <c r="A55" s="70" t="s">
        <v>625</v>
      </c>
      <c r="B55" s="62">
        <v>8</v>
      </c>
      <c r="C55" s="62" t="s">
        <v>6</v>
      </c>
      <c r="D55" s="89">
        <f>B55*DADOS_INICIAIS!$F$9*1.1</f>
        <v>189290.46400000007</v>
      </c>
      <c r="E55" s="57"/>
    </row>
    <row r="56" spans="1:9" s="55" customFormat="1" ht="26.25" customHeight="1" x14ac:dyDescent="0.25">
      <c r="A56" s="70" t="s">
        <v>241</v>
      </c>
      <c r="B56" s="62">
        <v>7.2</v>
      </c>
      <c r="C56" s="62" t="s">
        <v>6</v>
      </c>
      <c r="D56" s="89">
        <f>B56*DADOS_INICIAIS!$F$9*1.1</f>
        <v>170361.41760000007</v>
      </c>
      <c r="E56" s="57"/>
    </row>
    <row r="57" spans="1:9" s="55" customFormat="1" ht="21.75" x14ac:dyDescent="0.25">
      <c r="A57" s="70" t="s">
        <v>626</v>
      </c>
      <c r="B57" s="62">
        <v>3</v>
      </c>
      <c r="C57" s="62" t="s">
        <v>6</v>
      </c>
      <c r="D57" s="89">
        <f>B57*DADOS_INICIAIS!$F$9*1.1</f>
        <v>70983.924000000028</v>
      </c>
      <c r="E57" s="57"/>
    </row>
    <row r="58" spans="1:9" s="55" customFormat="1" ht="21.75" x14ac:dyDescent="0.25">
      <c r="A58" s="301" t="s">
        <v>17</v>
      </c>
      <c r="B58" s="301"/>
      <c r="C58" s="301"/>
      <c r="D58" s="90">
        <f>SUM(D50:D57)</f>
        <v>1000684.5816000003</v>
      </c>
      <c r="E58" s="60"/>
    </row>
    <row r="59" spans="1:9" x14ac:dyDescent="0.25">
      <c r="D59" s="107"/>
      <c r="I59" s="47"/>
    </row>
    <row r="60" spans="1:9" ht="23.25" customHeight="1" x14ac:dyDescent="0.25">
      <c r="A60" s="298" t="s">
        <v>239</v>
      </c>
      <c r="B60" s="299"/>
      <c r="C60" s="299"/>
      <c r="D60" s="108">
        <f>D18+D34+D58+D45</f>
        <v>9279749.6895840019</v>
      </c>
      <c r="E60" s="108">
        <f>D60/DADOS_INICIAIS!F9</f>
        <v>431.40999045963139</v>
      </c>
    </row>
    <row r="62" spans="1:9" x14ac:dyDescent="0.25">
      <c r="E62" s="199">
        <f>E60/1.1</f>
        <v>392.19090041784671</v>
      </c>
    </row>
  </sheetData>
  <mergeCells count="13">
    <mergeCell ref="A60:C60"/>
    <mergeCell ref="A58:C58"/>
    <mergeCell ref="A2:E2"/>
    <mergeCell ref="A18:C18"/>
    <mergeCell ref="A19:C19"/>
    <mergeCell ref="B6:C6"/>
    <mergeCell ref="B22:C22"/>
    <mergeCell ref="B49:C49"/>
    <mergeCell ref="A34:C34"/>
    <mergeCell ref="A35:C35"/>
    <mergeCell ref="B38:C38"/>
    <mergeCell ref="A45:C45"/>
    <mergeCell ref="A46:C4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N48"/>
  <sheetViews>
    <sheetView showGridLines="0" zoomScale="85" zoomScaleNormal="85" zoomScaleSheetLayoutView="95" workbookViewId="0">
      <selection activeCell="D9" sqref="D9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4" x14ac:dyDescent="0.25">
      <c r="A1" s="48"/>
      <c r="B1" s="48"/>
      <c r="C1" s="48"/>
      <c r="D1" s="48"/>
      <c r="E1" s="48"/>
      <c r="G1" s="2"/>
    </row>
    <row r="2" spans="1:14" ht="28.5" x14ac:dyDescent="0.25">
      <c r="A2" s="302" t="s">
        <v>276</v>
      </c>
      <c r="B2" s="303"/>
      <c r="C2" s="303"/>
      <c r="D2" s="303"/>
      <c r="E2" s="304"/>
      <c r="G2" s="2"/>
    </row>
    <row r="3" spans="1:14" x14ac:dyDescent="0.25">
      <c r="A3" s="50"/>
      <c r="B3" s="50"/>
      <c r="C3" s="50"/>
      <c r="D3" s="48"/>
      <c r="E3" s="48"/>
      <c r="G3" s="2"/>
    </row>
    <row r="4" spans="1:14" s="55" customFormat="1" ht="21.75" x14ac:dyDescent="0.25">
      <c r="A4" s="52" t="s">
        <v>275</v>
      </c>
      <c r="B4" s="53"/>
      <c r="C4" s="53"/>
      <c r="D4" s="53"/>
      <c r="E4" s="53"/>
    </row>
    <row r="5" spans="1:14" s="55" customFormat="1" ht="21.75" x14ac:dyDescent="0.25">
      <c r="A5" s="56"/>
      <c r="B5" s="57"/>
      <c r="C5" s="57"/>
      <c r="D5" s="59"/>
      <c r="E5" s="59"/>
    </row>
    <row r="6" spans="1:14" s="55" customFormat="1" ht="42" customHeight="1" x14ac:dyDescent="0.25">
      <c r="A6" s="63" t="s">
        <v>14</v>
      </c>
      <c r="B6" s="65" t="s">
        <v>18</v>
      </c>
      <c r="C6" s="71" t="s">
        <v>265</v>
      </c>
      <c r="D6" s="71" t="s">
        <v>16</v>
      </c>
      <c r="E6" s="59"/>
      <c r="G6" s="55" t="s">
        <v>202</v>
      </c>
      <c r="H6" s="55" t="s">
        <v>631</v>
      </c>
      <c r="I6" s="55" t="s">
        <v>632</v>
      </c>
      <c r="J6" s="55" t="s">
        <v>471</v>
      </c>
      <c r="K6" s="55" t="s">
        <v>637</v>
      </c>
      <c r="L6" s="55" t="s">
        <v>638</v>
      </c>
      <c r="M6" s="55" t="s">
        <v>640</v>
      </c>
      <c r="N6" s="55" t="s">
        <v>641</v>
      </c>
    </row>
    <row r="7" spans="1:14" s="55" customFormat="1" ht="43.5" x14ac:dyDescent="0.25">
      <c r="A7" s="66" t="s">
        <v>274</v>
      </c>
      <c r="B7" s="67">
        <f>SUM(G7:N7)</f>
        <v>455</v>
      </c>
      <c r="C7" s="290">
        <v>1500</v>
      </c>
      <c r="D7" s="89">
        <f t="shared" ref="D7:D14" si="0">B7*C7*1.1</f>
        <v>750750.00000000012</v>
      </c>
      <c r="E7" s="57"/>
      <c r="G7" s="55">
        <f>3+3</f>
        <v>6</v>
      </c>
      <c r="H7" s="55">
        <v>0</v>
      </c>
      <c r="I7" s="55">
        <v>0</v>
      </c>
      <c r="J7" s="55">
        <f>7+7+1+2</f>
        <v>17</v>
      </c>
      <c r="K7" s="55">
        <f>7*2*2</f>
        <v>28</v>
      </c>
      <c r="L7" s="55">
        <f>K7*13</f>
        <v>364</v>
      </c>
      <c r="M7" s="55">
        <f>6*2*2</f>
        <v>24</v>
      </c>
      <c r="N7" s="55">
        <f>4*2*2</f>
        <v>16</v>
      </c>
    </row>
    <row r="8" spans="1:14" s="55" customFormat="1" ht="21.75" x14ac:dyDescent="0.25">
      <c r="A8" s="66" t="s">
        <v>635</v>
      </c>
      <c r="B8" s="67">
        <f t="shared" ref="B8:B14" si="1">SUM(G8:N8)</f>
        <v>4</v>
      </c>
      <c r="C8" s="290">
        <v>3000</v>
      </c>
      <c r="D8" s="89">
        <f t="shared" si="0"/>
        <v>13200.000000000002</v>
      </c>
      <c r="E8" s="57"/>
      <c r="G8" s="55">
        <v>3</v>
      </c>
      <c r="H8" s="55">
        <v>0</v>
      </c>
      <c r="I8" s="55">
        <v>0</v>
      </c>
      <c r="J8" s="55">
        <v>1</v>
      </c>
      <c r="K8" s="55">
        <v>0</v>
      </c>
      <c r="L8" s="55">
        <f t="shared" ref="L8:L14" si="2">K8*13</f>
        <v>0</v>
      </c>
      <c r="M8" s="55">
        <v>0</v>
      </c>
      <c r="N8" s="55">
        <v>0</v>
      </c>
    </row>
    <row r="9" spans="1:14" s="55" customFormat="1" ht="21.75" x14ac:dyDescent="0.25">
      <c r="A9" s="66" t="s">
        <v>636</v>
      </c>
      <c r="B9" s="67">
        <f t="shared" si="1"/>
        <v>16</v>
      </c>
      <c r="C9" s="290">
        <v>14400</v>
      </c>
      <c r="D9" s="89">
        <f t="shared" si="0"/>
        <v>253440.00000000003</v>
      </c>
      <c r="E9" s="57"/>
      <c r="G9" s="55">
        <v>0</v>
      </c>
      <c r="H9" s="55">
        <v>0</v>
      </c>
      <c r="I9" s="55">
        <v>0</v>
      </c>
      <c r="J9" s="55">
        <f>14+2</f>
        <v>16</v>
      </c>
      <c r="K9" s="55">
        <v>0</v>
      </c>
      <c r="L9" s="55">
        <f t="shared" si="2"/>
        <v>0</v>
      </c>
      <c r="M9" s="55">
        <v>0</v>
      </c>
      <c r="N9" s="55">
        <v>0</v>
      </c>
    </row>
    <row r="10" spans="1:14" s="55" customFormat="1" ht="21.75" x14ac:dyDescent="0.25">
      <c r="A10" s="66" t="s">
        <v>273</v>
      </c>
      <c r="B10" s="67">
        <f t="shared" si="1"/>
        <v>10</v>
      </c>
      <c r="C10" s="290">
        <v>900</v>
      </c>
      <c r="D10" s="89">
        <f t="shared" si="0"/>
        <v>9900</v>
      </c>
      <c r="E10" s="57"/>
      <c r="G10" s="55">
        <v>10</v>
      </c>
      <c r="H10" s="55">
        <v>0</v>
      </c>
      <c r="I10" s="55">
        <v>0</v>
      </c>
      <c r="J10" s="55">
        <v>0</v>
      </c>
      <c r="K10" s="55">
        <v>0</v>
      </c>
      <c r="L10" s="55">
        <f t="shared" si="2"/>
        <v>0</v>
      </c>
      <c r="M10" s="55">
        <v>0</v>
      </c>
      <c r="N10" s="55">
        <v>0</v>
      </c>
    </row>
    <row r="11" spans="1:14" s="55" customFormat="1" ht="21.75" x14ac:dyDescent="0.25">
      <c r="A11" s="66" t="s">
        <v>629</v>
      </c>
      <c r="B11" s="67">
        <f t="shared" si="1"/>
        <v>44</v>
      </c>
      <c r="C11" s="290">
        <v>2500</v>
      </c>
      <c r="D11" s="89">
        <f t="shared" si="0"/>
        <v>121000.00000000001</v>
      </c>
      <c r="E11" s="57"/>
      <c r="G11" s="55">
        <v>4</v>
      </c>
      <c r="H11" s="55">
        <v>0</v>
      </c>
      <c r="I11" s="55">
        <v>0</v>
      </c>
      <c r="J11" s="55">
        <v>8</v>
      </c>
      <c r="K11" s="55">
        <f>1*2</f>
        <v>2</v>
      </c>
      <c r="L11" s="55">
        <f t="shared" si="2"/>
        <v>26</v>
      </c>
      <c r="M11" s="55">
        <f>1*2</f>
        <v>2</v>
      </c>
      <c r="N11" s="55">
        <f>1*2</f>
        <v>2</v>
      </c>
    </row>
    <row r="12" spans="1:14" s="55" customFormat="1" ht="21.75" x14ac:dyDescent="0.25">
      <c r="A12" s="66" t="s">
        <v>628</v>
      </c>
      <c r="B12" s="67">
        <f t="shared" si="1"/>
        <v>45</v>
      </c>
      <c r="C12" s="290">
        <v>2300</v>
      </c>
      <c r="D12" s="89">
        <f t="shared" si="0"/>
        <v>113850.00000000001</v>
      </c>
      <c r="E12" s="57"/>
      <c r="G12" s="55">
        <f>4+7</f>
        <v>11</v>
      </c>
      <c r="H12" s="55">
        <v>17</v>
      </c>
      <c r="I12" s="55">
        <v>17</v>
      </c>
      <c r="J12" s="55">
        <v>0</v>
      </c>
      <c r="K12" s="55">
        <v>0</v>
      </c>
      <c r="L12" s="55">
        <f t="shared" si="2"/>
        <v>0</v>
      </c>
      <c r="M12" s="55">
        <v>0</v>
      </c>
      <c r="N12" s="55">
        <v>0</v>
      </c>
    </row>
    <row r="13" spans="1:14" s="55" customFormat="1" ht="21.75" x14ac:dyDescent="0.25">
      <c r="A13" s="66" t="s">
        <v>639</v>
      </c>
      <c r="B13" s="67">
        <f t="shared" si="1"/>
        <v>60</v>
      </c>
      <c r="C13" s="290">
        <v>950</v>
      </c>
      <c r="D13" s="89">
        <f t="shared" si="0"/>
        <v>62700.000000000007</v>
      </c>
      <c r="E13" s="57"/>
      <c r="G13" s="55">
        <v>0</v>
      </c>
      <c r="H13" s="55">
        <v>0</v>
      </c>
      <c r="I13" s="55">
        <v>0</v>
      </c>
      <c r="J13" s="55">
        <v>0</v>
      </c>
      <c r="K13" s="55">
        <f>2*2</f>
        <v>4</v>
      </c>
      <c r="L13" s="55">
        <f t="shared" si="2"/>
        <v>52</v>
      </c>
      <c r="M13" s="55">
        <v>0</v>
      </c>
      <c r="N13" s="55">
        <f>2*2</f>
        <v>4</v>
      </c>
    </row>
    <row r="14" spans="1:14" s="55" customFormat="1" ht="21.75" x14ac:dyDescent="0.25">
      <c r="A14" s="66" t="s">
        <v>272</v>
      </c>
      <c r="B14" s="67">
        <f t="shared" si="1"/>
        <v>62</v>
      </c>
      <c r="C14" s="290">
        <v>4200</v>
      </c>
      <c r="D14" s="89">
        <f t="shared" si="0"/>
        <v>286440</v>
      </c>
      <c r="E14" s="57"/>
      <c r="G14" s="55">
        <v>0</v>
      </c>
      <c r="H14" s="55">
        <v>0</v>
      </c>
      <c r="I14" s="55">
        <v>0</v>
      </c>
      <c r="J14" s="55">
        <f>1+1</f>
        <v>2</v>
      </c>
      <c r="K14" s="55">
        <f>2*2</f>
        <v>4</v>
      </c>
      <c r="L14" s="55">
        <f t="shared" si="2"/>
        <v>52</v>
      </c>
      <c r="M14" s="55">
        <v>0</v>
      </c>
      <c r="N14" s="55">
        <f>2*2</f>
        <v>4</v>
      </c>
    </row>
    <row r="15" spans="1:14" s="55" customFormat="1" ht="21.75" x14ac:dyDescent="0.25">
      <c r="A15" s="301" t="s">
        <v>17</v>
      </c>
      <c r="B15" s="301"/>
      <c r="C15" s="301"/>
      <c r="D15" s="90">
        <f>SUM(D7:D14)</f>
        <v>1611280.0000000002</v>
      </c>
      <c r="E15" s="60"/>
      <c r="G15" s="55" t="s">
        <v>630</v>
      </c>
      <c r="J15" s="55" t="s">
        <v>633</v>
      </c>
    </row>
    <row r="16" spans="1:14" s="55" customFormat="1" ht="21.75" x14ac:dyDescent="0.25">
      <c r="A16" s="305"/>
      <c r="B16" s="305"/>
      <c r="C16" s="305"/>
      <c r="D16" s="59"/>
      <c r="E16" s="59"/>
      <c r="J16" s="55" t="s">
        <v>634</v>
      </c>
    </row>
    <row r="17" spans="1:5" s="55" customFormat="1" ht="21.75" x14ac:dyDescent="0.25">
      <c r="A17" s="52" t="s">
        <v>271</v>
      </c>
      <c r="B17" s="53"/>
      <c r="C17" s="53"/>
      <c r="D17" s="53"/>
      <c r="E17" s="53"/>
    </row>
    <row r="18" spans="1:5" s="55" customFormat="1" ht="21.75" x14ac:dyDescent="0.25">
      <c r="A18" s="56"/>
      <c r="B18" s="57"/>
      <c r="C18" s="57"/>
      <c r="D18" s="59"/>
      <c r="E18" s="59"/>
    </row>
    <row r="19" spans="1:5" s="55" customFormat="1" ht="42" customHeight="1" x14ac:dyDescent="0.25">
      <c r="A19" s="63" t="s">
        <v>14</v>
      </c>
      <c r="B19" s="306" t="s">
        <v>5</v>
      </c>
      <c r="C19" s="307"/>
      <c r="D19" s="71" t="s">
        <v>16</v>
      </c>
      <c r="E19" s="59"/>
    </row>
    <row r="20" spans="1:5" s="55" customFormat="1" ht="21.75" x14ac:dyDescent="0.25">
      <c r="A20" s="66" t="s">
        <v>270</v>
      </c>
      <c r="B20" s="62">
        <v>4</v>
      </c>
      <c r="C20" s="62" t="s">
        <v>6</v>
      </c>
      <c r="D20" s="89">
        <f>B20*DADOS_INICIAIS!$F$9*1.1</f>
        <v>94645.232000000033</v>
      </c>
      <c r="E20" s="57"/>
    </row>
    <row r="21" spans="1:5" s="55" customFormat="1" ht="21.75" x14ac:dyDescent="0.25">
      <c r="A21" s="66" t="s">
        <v>269</v>
      </c>
      <c r="B21" s="62">
        <v>3</v>
      </c>
      <c r="C21" s="62" t="s">
        <v>6</v>
      </c>
      <c r="D21" s="89">
        <f>B21*DADOS_INICIAIS!$F$9*1.1</f>
        <v>70983.924000000028</v>
      </c>
      <c r="E21" s="57"/>
    </row>
    <row r="22" spans="1:5" s="55" customFormat="1" ht="21.75" x14ac:dyDescent="0.25">
      <c r="A22" s="66" t="s">
        <v>268</v>
      </c>
      <c r="B22" s="62">
        <v>5</v>
      </c>
      <c r="C22" s="62" t="s">
        <v>6</v>
      </c>
      <c r="D22" s="89">
        <f>B22*DADOS_INICIAIS!$F$9*1.1</f>
        <v>118306.54000000004</v>
      </c>
      <c r="E22" s="57"/>
    </row>
    <row r="23" spans="1:5" s="55" customFormat="1" ht="43.5" x14ac:dyDescent="0.25">
      <c r="A23" s="66" t="s">
        <v>267</v>
      </c>
      <c r="B23" s="62">
        <v>10</v>
      </c>
      <c r="C23" s="62" t="s">
        <v>6</v>
      </c>
      <c r="D23" s="89">
        <f>B23*DADOS_INICIAIS!$F$9*1.1</f>
        <v>236613.08000000007</v>
      </c>
      <c r="E23" s="57"/>
    </row>
    <row r="24" spans="1:5" s="55" customFormat="1" ht="21.75" x14ac:dyDescent="0.25">
      <c r="A24" s="301" t="s">
        <v>17</v>
      </c>
      <c r="B24" s="301"/>
      <c r="C24" s="301"/>
      <c r="D24" s="90">
        <f>SUM(D20:D23)</f>
        <v>520548.77600000019</v>
      </c>
      <c r="E24" s="60"/>
    </row>
    <row r="25" spans="1:5" s="55" customFormat="1" ht="21.75" x14ac:dyDescent="0.25">
      <c r="A25" s="305"/>
      <c r="B25" s="305"/>
      <c r="C25" s="305"/>
      <c r="D25" s="59"/>
      <c r="E25" s="59"/>
    </row>
    <row r="26" spans="1:5" s="55" customFormat="1" ht="21.75" x14ac:dyDescent="0.25">
      <c r="A26" s="52" t="s">
        <v>266</v>
      </c>
      <c r="B26" s="53"/>
      <c r="C26" s="53"/>
      <c r="D26" s="53"/>
      <c r="E26" s="53"/>
    </row>
    <row r="27" spans="1:5" s="55" customFormat="1" ht="21.75" x14ac:dyDescent="0.25">
      <c r="A27" s="56"/>
      <c r="B27" s="57"/>
      <c r="C27" s="57"/>
      <c r="D27" s="59"/>
      <c r="E27" s="59"/>
    </row>
    <row r="28" spans="1:5" s="55" customFormat="1" ht="42" customHeight="1" x14ac:dyDescent="0.25">
      <c r="A28" s="63" t="s">
        <v>14</v>
      </c>
      <c r="B28" s="65" t="s">
        <v>18</v>
      </c>
      <c r="C28" s="71" t="s">
        <v>265</v>
      </c>
      <c r="D28" s="71" t="s">
        <v>16</v>
      </c>
      <c r="E28" s="59"/>
    </row>
    <row r="29" spans="1:5" s="55" customFormat="1" ht="26.25" customHeight="1" x14ac:dyDescent="0.25">
      <c r="A29" s="70" t="s">
        <v>658</v>
      </c>
      <c r="B29" s="67">
        <v>4</v>
      </c>
      <c r="C29" s="188">
        <f>326782.5*1.2</f>
        <v>392139</v>
      </c>
      <c r="D29" s="89">
        <f>B29*C29*1.1</f>
        <v>1725411.6</v>
      </c>
      <c r="E29" s="57" t="s">
        <v>627</v>
      </c>
    </row>
    <row r="30" spans="1:5" s="55" customFormat="1" ht="26.25" customHeight="1" x14ac:dyDescent="0.25">
      <c r="A30" s="70" t="s">
        <v>264</v>
      </c>
      <c r="B30" s="67">
        <v>2</v>
      </c>
      <c r="C30" s="188">
        <v>326782.5</v>
      </c>
      <c r="D30" s="89">
        <f>B30*C30*1.1</f>
        <v>718921.5</v>
      </c>
      <c r="E30" s="57" t="s">
        <v>627</v>
      </c>
    </row>
    <row r="31" spans="1:5" s="55" customFormat="1" ht="26.25" customHeight="1" x14ac:dyDescent="0.25">
      <c r="A31" s="70" t="s">
        <v>319</v>
      </c>
      <c r="B31" s="67">
        <v>2</v>
      </c>
      <c r="C31" s="188">
        <v>8500</v>
      </c>
      <c r="D31" s="89">
        <f t="shared" ref="D31:D39" si="3">B31*C31*1.1</f>
        <v>18700</v>
      </c>
      <c r="E31" s="57"/>
    </row>
    <row r="32" spans="1:5" s="55" customFormat="1" ht="26.25" customHeight="1" x14ac:dyDescent="0.25">
      <c r="A32" s="70" t="s">
        <v>362</v>
      </c>
      <c r="B32" s="67">
        <v>0</v>
      </c>
      <c r="C32" s="188">
        <v>25000</v>
      </c>
      <c r="D32" s="89">
        <f t="shared" ref="D32" si="4">B32*C32*1.1</f>
        <v>0</v>
      </c>
      <c r="E32" s="57"/>
    </row>
    <row r="33" spans="1:9" s="55" customFormat="1" ht="26.25" customHeight="1" x14ac:dyDescent="0.25">
      <c r="A33" s="70" t="s">
        <v>381</v>
      </c>
      <c r="B33" s="67">
        <v>0</v>
      </c>
      <c r="C33" s="188">
        <v>12000</v>
      </c>
      <c r="D33" s="89">
        <f t="shared" ref="D33:D36" si="5">B33*C33*1.1</f>
        <v>0</v>
      </c>
      <c r="E33" s="57"/>
    </row>
    <row r="34" spans="1:9" s="55" customFormat="1" ht="26.25" customHeight="1" x14ac:dyDescent="0.25">
      <c r="A34" s="70" t="s">
        <v>642</v>
      </c>
      <c r="B34" s="67">
        <v>2</v>
      </c>
      <c r="C34" s="188">
        <v>24980</v>
      </c>
      <c r="D34" s="89">
        <f t="shared" si="5"/>
        <v>54956.000000000007</v>
      </c>
      <c r="E34" s="57"/>
    </row>
    <row r="35" spans="1:9" s="55" customFormat="1" ht="26.25" customHeight="1" x14ac:dyDescent="0.25">
      <c r="A35" s="70" t="s">
        <v>645</v>
      </c>
      <c r="B35" s="67">
        <f>2*2*2</f>
        <v>8</v>
      </c>
      <c r="C35" s="290">
        <v>150</v>
      </c>
      <c r="D35" s="89"/>
      <c r="E35" s="57"/>
    </row>
    <row r="36" spans="1:9" s="55" customFormat="1" ht="26.25" customHeight="1" x14ac:dyDescent="0.25">
      <c r="A36" s="70" t="s">
        <v>653</v>
      </c>
      <c r="B36" s="67">
        <f>(AMBIENTES!J85+AMBIENTES!J88+AMBIENTES!J103+AMBIENTES!J105+AMBIENTES!J115+AMBIENTES!J124+AMBIENTES!J135+AMBIENTES!J144+AMBIENTES!J153+AMBIENTES!J161+AMBIENTES!J173+AMBIENTES!J185)*0.8</f>
        <v>649.60799999999995</v>
      </c>
      <c r="C36" s="188">
        <v>280</v>
      </c>
      <c r="D36" s="89">
        <f t="shared" si="5"/>
        <v>200079.264</v>
      </c>
      <c r="E36" s="57"/>
    </row>
    <row r="37" spans="1:9" s="55" customFormat="1" ht="26.25" customHeight="1" x14ac:dyDescent="0.25">
      <c r="A37" s="70" t="s">
        <v>644</v>
      </c>
      <c r="B37" s="67">
        <f>2*2</f>
        <v>4</v>
      </c>
      <c r="C37" s="290">
        <f>25000+2*C35</f>
        <v>25300</v>
      </c>
      <c r="D37" s="89">
        <f>B37*C37*1.1</f>
        <v>111320.00000000001</v>
      </c>
      <c r="E37" s="57"/>
    </row>
    <row r="38" spans="1:9" s="55" customFormat="1" ht="26.25" customHeight="1" x14ac:dyDescent="0.25">
      <c r="A38" s="70" t="s">
        <v>643</v>
      </c>
      <c r="B38" s="67">
        <f>10+6</f>
        <v>16</v>
      </c>
      <c r="C38" s="290">
        <v>150</v>
      </c>
      <c r="D38" s="89">
        <f>B38*C38*1.1</f>
        <v>2640</v>
      </c>
      <c r="E38" s="57"/>
    </row>
    <row r="39" spans="1:9" s="55" customFormat="1" ht="26.25" customHeight="1" x14ac:dyDescent="0.25">
      <c r="A39" s="70" t="s">
        <v>261</v>
      </c>
      <c r="B39" s="67">
        <v>5</v>
      </c>
      <c r="C39" s="188">
        <f>36831.3</f>
        <v>36831.300000000003</v>
      </c>
      <c r="D39" s="89">
        <f t="shared" si="3"/>
        <v>202572.15000000002</v>
      </c>
      <c r="E39" s="57"/>
    </row>
    <row r="40" spans="1:9" s="55" customFormat="1" ht="21.75" x14ac:dyDescent="0.25">
      <c r="A40" s="301" t="s">
        <v>17</v>
      </c>
      <c r="B40" s="301"/>
      <c r="C40" s="301"/>
      <c r="D40" s="90">
        <f>SUM(D29:D39)</f>
        <v>3034600.514</v>
      </c>
      <c r="E40" s="60"/>
    </row>
    <row r="41" spans="1:9" x14ac:dyDescent="0.25">
      <c r="I41" s="47"/>
    </row>
    <row r="42" spans="1:9" s="55" customFormat="1" ht="21.75" x14ac:dyDescent="0.25">
      <c r="A42" s="52" t="s">
        <v>260</v>
      </c>
      <c r="B42" s="53"/>
      <c r="C42" s="53"/>
      <c r="D42" s="53"/>
      <c r="E42" s="53"/>
    </row>
    <row r="43" spans="1:9" s="55" customFormat="1" ht="21.75" x14ac:dyDescent="0.25">
      <c r="A43" s="56"/>
      <c r="B43" s="57"/>
      <c r="C43" s="57"/>
      <c r="D43" s="59"/>
      <c r="E43" s="59"/>
    </row>
    <row r="44" spans="1:9" s="55" customFormat="1" ht="40.5" customHeight="1" x14ac:dyDescent="0.25">
      <c r="A44" s="63" t="s">
        <v>14</v>
      </c>
      <c r="B44" s="306" t="s">
        <v>5</v>
      </c>
      <c r="C44" s="307"/>
      <c r="D44" s="71" t="s">
        <v>16</v>
      </c>
      <c r="E44" s="59"/>
    </row>
    <row r="45" spans="1:9" s="55" customFormat="1" ht="26.25" customHeight="1" x14ac:dyDescent="0.25">
      <c r="A45" s="70" t="s">
        <v>259</v>
      </c>
      <c r="B45" s="62">
        <v>30</v>
      </c>
      <c r="C45" s="62" t="s">
        <v>6</v>
      </c>
      <c r="D45" s="89"/>
      <c r="E45" s="102"/>
    </row>
    <row r="46" spans="1:9" s="55" customFormat="1" ht="21.75" x14ac:dyDescent="0.25">
      <c r="A46" s="301" t="s">
        <v>17</v>
      </c>
      <c r="B46" s="301"/>
      <c r="C46" s="301"/>
      <c r="D46" s="90">
        <f>SUM(D45:D45)</f>
        <v>0</v>
      </c>
      <c r="E46" s="103"/>
    </row>
    <row r="47" spans="1:9" x14ac:dyDescent="0.25">
      <c r="D47" s="107"/>
      <c r="E47" s="107"/>
      <c r="I47" s="47"/>
    </row>
    <row r="48" spans="1:9" ht="23.25" customHeight="1" x14ac:dyDescent="0.25">
      <c r="A48" s="298" t="s">
        <v>258</v>
      </c>
      <c r="B48" s="299"/>
      <c r="C48" s="300"/>
      <c r="D48" s="108">
        <f>D15+D24+D40+D46</f>
        <v>5166429.290000001</v>
      </c>
      <c r="E48" s="108">
        <f>D48/DADOS_INICIAIS!F9</f>
        <v>240.18419518481394</v>
      </c>
    </row>
  </sheetData>
  <mergeCells count="10">
    <mergeCell ref="A40:C40"/>
    <mergeCell ref="A48:C48"/>
    <mergeCell ref="B44:C44"/>
    <mergeCell ref="A46:C46"/>
    <mergeCell ref="A2:E2"/>
    <mergeCell ref="A15:C15"/>
    <mergeCell ref="A16:C16"/>
    <mergeCell ref="B19:C19"/>
    <mergeCell ref="A24:C24"/>
    <mergeCell ref="A25:C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3"/>
  <sheetViews>
    <sheetView showGridLines="0" topLeftCell="B1" zoomScale="80" zoomScaleNormal="80" zoomScaleSheetLayoutView="95" workbookViewId="0">
      <selection activeCell="G18" sqref="G1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2" t="s">
        <v>231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45780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</row>
    <row r="10" spans="1:10" ht="21.75" x14ac:dyDescent="0.25">
      <c r="A10" s="66" t="s">
        <v>230</v>
      </c>
      <c r="B10" s="62">
        <v>25</v>
      </c>
      <c r="C10" s="62" t="s">
        <v>171</v>
      </c>
      <c r="D10" s="67">
        <f>D14+D15</f>
        <v>9952.2040000000015</v>
      </c>
      <c r="E10" s="67" t="s">
        <v>2</v>
      </c>
      <c r="F10" s="88">
        <v>22</v>
      </c>
      <c r="G10" s="89">
        <f t="shared" ref="G10:G17" si="0">F10*D10*1.1</f>
        <v>240843.33680000008</v>
      </c>
      <c r="H10" s="67"/>
    </row>
    <row r="11" spans="1:10" ht="21.75" x14ac:dyDescent="0.25">
      <c r="A11" s="78" t="s">
        <v>229</v>
      </c>
      <c r="B11" s="62">
        <v>45</v>
      </c>
      <c r="C11" s="62" t="s">
        <v>171</v>
      </c>
      <c r="D11" s="67">
        <f>(((4.14)+(2.05+2.1)*2*1.8)*3)*2</f>
        <v>114.48000000000002</v>
      </c>
      <c r="E11" s="67" t="s">
        <v>2</v>
      </c>
      <c r="F11" s="88">
        <v>41</v>
      </c>
      <c r="G11" s="89">
        <f t="shared" si="0"/>
        <v>5163.0480000000007</v>
      </c>
      <c r="H11" s="67"/>
    </row>
    <row r="12" spans="1:10" ht="21.75" x14ac:dyDescent="0.25">
      <c r="A12" s="78" t="s">
        <v>228</v>
      </c>
      <c r="B12" s="62">
        <v>30</v>
      </c>
      <c r="C12" s="62" t="s">
        <v>171</v>
      </c>
      <c r="D12" s="67">
        <f>'INFRAESTRUTURA '!D28</f>
        <v>2090.59</v>
      </c>
      <c r="E12" s="67" t="s">
        <v>2</v>
      </c>
      <c r="F12" s="88">
        <v>35</v>
      </c>
      <c r="G12" s="89">
        <f t="shared" si="0"/>
        <v>80487.715000000011</v>
      </c>
      <c r="H12" s="67"/>
    </row>
    <row r="13" spans="1:10" ht="21.75" x14ac:dyDescent="0.25">
      <c r="A13" s="66" t="s">
        <v>227</v>
      </c>
      <c r="B13" s="62">
        <v>0.4</v>
      </c>
      <c r="C13" s="62" t="s">
        <v>6</v>
      </c>
      <c r="D13" s="67">
        <v>1</v>
      </c>
      <c r="E13" s="67" t="s">
        <v>27</v>
      </c>
      <c r="F13" s="88">
        <f>B13*DADOS_INICIAIS!F9</f>
        <v>8604.1120000000028</v>
      </c>
      <c r="G13" s="89">
        <f t="shared" si="0"/>
        <v>9464.5232000000033</v>
      </c>
      <c r="H13" s="67"/>
    </row>
    <row r="14" spans="1:10" ht="21.75" x14ac:dyDescent="0.25">
      <c r="A14" s="66" t="s">
        <v>226</v>
      </c>
      <c r="B14" s="62">
        <v>0.35</v>
      </c>
      <c r="C14" s="62" t="s">
        <v>37</v>
      </c>
      <c r="D14" s="67">
        <f>B14*DADOS_INICIAIS!F9</f>
        <v>7528.5980000000018</v>
      </c>
      <c r="E14" s="67" t="s">
        <v>2</v>
      </c>
      <c r="F14" s="88">
        <v>60</v>
      </c>
      <c r="G14" s="89">
        <f>F14*D14</f>
        <v>451715.88000000012</v>
      </c>
      <c r="H14" s="67"/>
    </row>
    <row r="15" spans="1:10" ht="21.75" x14ac:dyDescent="0.25">
      <c r="A15" s="66" t="s">
        <v>225</v>
      </c>
      <c r="B15" s="62">
        <v>0.1</v>
      </c>
      <c r="C15" s="62" t="s">
        <v>37</v>
      </c>
      <c r="D15" s="67">
        <f>DADOS_INICIAIS!F36-DADOS_INICIAIS!F30+AMBIENTES!F106+AMBIENTES!F117+AMBIENTES!F137+AMBIENTES!F146+AMBIENTES!J184+AMBIENTES!J186+AMBIENTES!J187+AMBIENTES!J188+AMBIENTES!J197+AMBIENTES!J198</f>
        <v>2423.6059999999998</v>
      </c>
      <c r="E15" s="67" t="s">
        <v>2</v>
      </c>
      <c r="F15" s="88">
        <v>150</v>
      </c>
      <c r="G15" s="89">
        <f t="shared" si="0"/>
        <v>399894.99</v>
      </c>
      <c r="H15" s="67"/>
    </row>
    <row r="16" spans="1:10" ht="21.75" x14ac:dyDescent="0.25">
      <c r="A16" s="66" t="s">
        <v>224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B16*DADOS_INICIAIS!F9</f>
        <v>12906.168000000003</v>
      </c>
      <c r="G16" s="89">
        <f t="shared" si="0"/>
        <v>14196.784800000005</v>
      </c>
      <c r="H16" s="67"/>
    </row>
    <row r="17" spans="1:12" ht="21.75" x14ac:dyDescent="0.25">
      <c r="A17" s="66" t="s">
        <v>223</v>
      </c>
      <c r="B17" s="62">
        <v>28</v>
      </c>
      <c r="C17" s="62" t="s">
        <v>171</v>
      </c>
      <c r="D17" s="67">
        <f>D15</f>
        <v>2423.6059999999998</v>
      </c>
      <c r="E17" s="67" t="s">
        <v>2</v>
      </c>
      <c r="F17" s="88">
        <v>28</v>
      </c>
      <c r="G17" s="89">
        <f t="shared" si="0"/>
        <v>74647.064799999993</v>
      </c>
      <c r="H17" s="67"/>
    </row>
    <row r="18" spans="1:12" ht="21.75" x14ac:dyDescent="0.25">
      <c r="A18" s="301" t="s">
        <v>17</v>
      </c>
      <c r="B18" s="301"/>
      <c r="C18" s="301"/>
      <c r="D18" s="301"/>
      <c r="E18" s="301"/>
      <c r="F18" s="301"/>
      <c r="G18" s="90">
        <f>SUM(G10:G17)</f>
        <v>1276413.3426000003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311" t="s">
        <v>222</v>
      </c>
      <c r="B20" s="312"/>
      <c r="C20" s="312"/>
      <c r="D20" s="312"/>
      <c r="E20" s="312"/>
      <c r="F20" s="313"/>
      <c r="G20" s="91">
        <f>G18</f>
        <v>1276413.3426000003</v>
      </c>
      <c r="H20" s="91">
        <f>G20/DADOS_INICIAIS!F9</f>
        <v>59.339689794832978</v>
      </c>
    </row>
    <row r="23" spans="1:12" x14ac:dyDescent="0.25">
      <c r="H23" s="198">
        <f>H20/1.1</f>
        <v>53.945172540757248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FD3B-69D6-4FC8-9C27-8AD2E318CB32}">
  <sheetPr>
    <tabColor rgb="FF0070C0"/>
  </sheetPr>
  <dimension ref="A1:X733"/>
  <sheetViews>
    <sheetView showGridLines="0" topLeftCell="H1" zoomScale="85" zoomScaleNormal="85" workbookViewId="0">
      <selection activeCell="M36" sqref="M36:M37"/>
    </sheetView>
  </sheetViews>
  <sheetFormatPr defaultColWidth="14.42578125" defaultRowHeight="15" customHeight="1" x14ac:dyDescent="0.25"/>
  <cols>
    <col min="1" max="1" width="12.28515625" customWidth="1"/>
    <col min="2" max="2" width="26.140625" customWidth="1"/>
    <col min="3" max="3" width="38.28515625" customWidth="1"/>
    <col min="4" max="4" width="24.42578125" customWidth="1"/>
    <col min="5" max="5" width="19.85546875" customWidth="1"/>
    <col min="6" max="6" width="19.7109375" customWidth="1"/>
    <col min="7" max="8" width="15.7109375" customWidth="1"/>
    <col min="9" max="9" width="17.28515625" customWidth="1"/>
    <col min="10" max="10" width="15.7109375" customWidth="1"/>
    <col min="11" max="11" width="8.85546875" customWidth="1"/>
    <col min="12" max="13" width="20.7109375" customWidth="1"/>
    <col min="14" max="14" width="22.5703125" customWidth="1"/>
    <col min="15" max="24" width="8.7109375" customWidth="1"/>
  </cols>
  <sheetData>
    <row r="1" spans="1:24" ht="15" customHeight="1" x14ac:dyDescent="0.25">
      <c r="A1" s="215" t="s">
        <v>0</v>
      </c>
      <c r="B1" s="216"/>
      <c r="C1" s="217"/>
      <c r="D1" s="218"/>
      <c r="E1" s="219"/>
      <c r="F1" s="220"/>
      <c r="G1" s="219"/>
      <c r="H1" s="219"/>
      <c r="I1" s="220"/>
      <c r="J1" s="220"/>
      <c r="K1" s="219"/>
      <c r="L1" s="219"/>
      <c r="M1" s="220"/>
      <c r="N1" s="221"/>
    </row>
    <row r="2" spans="1:24" ht="15" customHeight="1" x14ac:dyDescent="0.25">
      <c r="A2" s="222" t="s">
        <v>117</v>
      </c>
      <c r="B2" s="223"/>
      <c r="C2" s="224"/>
      <c r="D2" s="225"/>
      <c r="E2" s="226"/>
      <c r="F2" s="227"/>
      <c r="G2" s="226"/>
      <c r="H2" s="226"/>
      <c r="I2" s="227"/>
      <c r="J2" s="227"/>
      <c r="K2" s="226"/>
      <c r="L2" s="226"/>
      <c r="M2" s="227"/>
      <c r="N2" s="228"/>
    </row>
    <row r="3" spans="1:24" ht="15" customHeight="1" x14ac:dyDescent="0.25">
      <c r="A3" s="222" t="s">
        <v>1</v>
      </c>
      <c r="B3" s="223"/>
      <c r="C3" s="224"/>
      <c r="D3" s="225"/>
      <c r="E3" s="226"/>
      <c r="F3" s="227"/>
      <c r="G3" s="226"/>
      <c r="H3" s="226"/>
      <c r="I3" s="227"/>
      <c r="J3" s="227"/>
      <c r="K3" s="226"/>
      <c r="L3" s="226"/>
      <c r="M3" s="227"/>
      <c r="N3" s="228"/>
    </row>
    <row r="4" spans="1:24" ht="15" customHeight="1" x14ac:dyDescent="0.25">
      <c r="A4" s="229" t="s">
        <v>186</v>
      </c>
      <c r="B4" s="230"/>
      <c r="C4" s="231"/>
      <c r="D4" s="225"/>
      <c r="E4" s="232"/>
      <c r="F4" s="233"/>
      <c r="G4" s="232"/>
      <c r="H4" s="232"/>
      <c r="I4" s="233"/>
      <c r="J4" s="233"/>
      <c r="K4" s="232"/>
      <c r="L4" s="232"/>
      <c r="M4" s="233"/>
      <c r="N4" s="228"/>
    </row>
    <row r="5" spans="1:24" ht="26.25" customHeight="1" x14ac:dyDescent="0.25">
      <c r="A5" s="316" t="s">
        <v>363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8"/>
    </row>
    <row r="6" spans="1:24" ht="14.25" customHeight="1" x14ac:dyDescent="0.25">
      <c r="A6" s="234"/>
      <c r="B6" s="235"/>
      <c r="C6" s="235"/>
      <c r="D6" s="235"/>
      <c r="E6" s="235"/>
      <c r="F6" s="236"/>
      <c r="G6" s="235"/>
      <c r="H6" s="235"/>
      <c r="I6" s="236"/>
      <c r="J6" s="236"/>
      <c r="K6" s="235"/>
      <c r="L6" s="235"/>
      <c r="M6" s="236"/>
      <c r="N6" s="237"/>
    </row>
    <row r="7" spans="1:24" ht="26.25" customHeight="1" x14ac:dyDescent="0.25">
      <c r="A7" s="319" t="s">
        <v>364</v>
      </c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8"/>
    </row>
    <row r="8" spans="1:24" ht="14.25" customHeight="1" thickBot="1" x14ac:dyDescent="0.3">
      <c r="A8" s="234"/>
      <c r="B8" s="235"/>
      <c r="C8" s="235"/>
      <c r="D8" s="235"/>
      <c r="E8" s="235"/>
      <c r="F8" s="236"/>
      <c r="G8" s="235"/>
      <c r="H8" s="235"/>
      <c r="I8" s="236"/>
      <c r="J8" s="236"/>
      <c r="K8" s="235"/>
      <c r="L8" s="235"/>
      <c r="M8" s="236"/>
      <c r="N8" s="237"/>
      <c r="O8" s="235"/>
      <c r="P8" s="235"/>
      <c r="Q8" s="235"/>
      <c r="R8" s="235"/>
      <c r="S8" s="235"/>
      <c r="T8" s="235"/>
      <c r="U8" s="235"/>
      <c r="V8" s="235"/>
      <c r="W8" s="235"/>
      <c r="X8" s="235"/>
    </row>
    <row r="9" spans="1:24" ht="14.25" customHeight="1" thickBot="1" x14ac:dyDescent="0.3">
      <c r="A9" s="234"/>
      <c r="B9" s="320" t="s">
        <v>365</v>
      </c>
      <c r="C9" s="321"/>
      <c r="D9" s="322"/>
      <c r="E9" s="322"/>
      <c r="F9" s="322"/>
      <c r="G9" s="322"/>
      <c r="H9" s="322"/>
      <c r="I9" s="322"/>
      <c r="J9" s="315"/>
      <c r="K9" s="235"/>
      <c r="L9" s="323" t="s">
        <v>366</v>
      </c>
      <c r="M9" s="324"/>
      <c r="N9" s="237"/>
    </row>
    <row r="10" spans="1:24" ht="14.25" customHeight="1" x14ac:dyDescent="0.45">
      <c r="A10" s="234"/>
      <c r="B10" s="238" t="s">
        <v>367</v>
      </c>
      <c r="C10" s="239" t="s">
        <v>378</v>
      </c>
      <c r="D10" s="240" t="s">
        <v>379</v>
      </c>
      <c r="E10" s="240" t="s">
        <v>380</v>
      </c>
      <c r="F10" s="241" t="s">
        <v>369</v>
      </c>
      <c r="G10" s="242" t="s">
        <v>370</v>
      </c>
      <c r="H10" s="242" t="s">
        <v>551</v>
      </c>
      <c r="I10" s="243" t="s">
        <v>371</v>
      </c>
      <c r="J10" s="244" t="s">
        <v>372</v>
      </c>
      <c r="K10" s="235"/>
      <c r="L10" s="245" t="s">
        <v>373</v>
      </c>
      <c r="M10" s="246" t="s">
        <v>374</v>
      </c>
      <c r="N10" s="237"/>
    </row>
    <row r="11" spans="1:24" ht="14.25" customHeight="1" x14ac:dyDescent="0.25">
      <c r="A11" s="234"/>
      <c r="B11" s="252" t="s">
        <v>377</v>
      </c>
      <c r="C11" s="253" t="s">
        <v>439</v>
      </c>
      <c r="D11" s="254" t="s">
        <v>433</v>
      </c>
      <c r="E11" s="254" t="s">
        <v>440</v>
      </c>
      <c r="F11" s="247">
        <v>21.91</v>
      </c>
      <c r="G11" s="256" t="s">
        <v>375</v>
      </c>
      <c r="H11" s="283" t="s">
        <v>217</v>
      </c>
      <c r="I11" s="248">
        <v>1</v>
      </c>
      <c r="J11" s="249">
        <f>F11*I11</f>
        <v>21.91</v>
      </c>
      <c r="K11" s="235"/>
      <c r="L11" s="250" t="s">
        <v>196</v>
      </c>
      <c r="M11" s="251">
        <f>SUMIF(G:G,"Sim",J:J)</f>
        <v>12434.349700000002</v>
      </c>
      <c r="N11" s="237"/>
    </row>
    <row r="12" spans="1:24" ht="14.25" customHeight="1" thickBot="1" x14ac:dyDescent="0.3">
      <c r="A12" s="234"/>
      <c r="B12" s="252" t="s">
        <v>377</v>
      </c>
      <c r="C12" s="253" t="s">
        <v>437</v>
      </c>
      <c r="D12" s="254" t="s">
        <v>433</v>
      </c>
      <c r="E12" s="254" t="s">
        <v>440</v>
      </c>
      <c r="F12" s="255">
        <v>9.33</v>
      </c>
      <c r="G12" s="256" t="s">
        <v>375</v>
      </c>
      <c r="H12" s="256" t="s">
        <v>217</v>
      </c>
      <c r="I12" s="257">
        <v>1</v>
      </c>
      <c r="J12" s="258">
        <f t="shared" ref="J12:J37" si="0">F12*I12</f>
        <v>9.33</v>
      </c>
      <c r="K12" s="235"/>
      <c r="L12" s="259" t="s">
        <v>195</v>
      </c>
      <c r="M12" s="260">
        <f>SUMIF(H:H,"Sim",J:J)</f>
        <v>6407.3</v>
      </c>
      <c r="N12" s="237"/>
    </row>
    <row r="13" spans="1:24" ht="14.25" customHeight="1" thickBot="1" x14ac:dyDescent="0.3">
      <c r="A13" s="234"/>
      <c r="B13" s="252" t="s">
        <v>377</v>
      </c>
      <c r="C13" s="253" t="s">
        <v>438</v>
      </c>
      <c r="D13" s="254" t="s">
        <v>433</v>
      </c>
      <c r="E13" s="254" t="s">
        <v>440</v>
      </c>
      <c r="F13" s="255">
        <f>4.09+3*1.25*0.18</f>
        <v>4.7649999999999997</v>
      </c>
      <c r="G13" s="256" t="s">
        <v>375</v>
      </c>
      <c r="H13" s="256" t="s">
        <v>217</v>
      </c>
      <c r="I13" s="257">
        <v>1</v>
      </c>
      <c r="J13" s="258">
        <f t="shared" si="0"/>
        <v>4.7649999999999997</v>
      </c>
      <c r="K13" s="235"/>
      <c r="L13" s="261"/>
      <c r="M13" s="262"/>
      <c r="N13" s="237"/>
    </row>
    <row r="14" spans="1:24" ht="14.25" customHeight="1" thickBot="1" x14ac:dyDescent="0.3">
      <c r="A14" s="234"/>
      <c r="B14" s="252" t="s">
        <v>377</v>
      </c>
      <c r="C14" s="253" t="s">
        <v>466</v>
      </c>
      <c r="D14" s="254" t="s">
        <v>382</v>
      </c>
      <c r="E14" s="254" t="s">
        <v>432</v>
      </c>
      <c r="F14" s="255">
        <v>6.3</v>
      </c>
      <c r="G14" s="256" t="s">
        <v>375</v>
      </c>
      <c r="H14" s="256" t="s">
        <v>217</v>
      </c>
      <c r="I14" s="257">
        <v>1</v>
      </c>
      <c r="J14" s="258">
        <f t="shared" si="0"/>
        <v>6.3</v>
      </c>
      <c r="K14" s="235"/>
      <c r="L14" s="314" t="s">
        <v>384</v>
      </c>
      <c r="M14" s="315"/>
      <c r="N14" s="237"/>
    </row>
    <row r="15" spans="1:24" ht="14.25" customHeight="1" x14ac:dyDescent="0.25">
      <c r="A15" s="234"/>
      <c r="B15" s="252" t="s">
        <v>377</v>
      </c>
      <c r="C15" s="253" t="s">
        <v>467</v>
      </c>
      <c r="D15" s="254" t="s">
        <v>382</v>
      </c>
      <c r="E15" s="254" t="s">
        <v>193</v>
      </c>
      <c r="F15" s="255">
        <f>17.3+20*1.25*0.175</f>
        <v>21.675000000000001</v>
      </c>
      <c r="G15" s="256" t="s">
        <v>375</v>
      </c>
      <c r="H15" s="256" t="s">
        <v>217</v>
      </c>
      <c r="I15" s="257">
        <v>1</v>
      </c>
      <c r="J15" s="258">
        <f t="shared" si="0"/>
        <v>21.675000000000001</v>
      </c>
      <c r="K15" s="235"/>
      <c r="L15" s="263" t="s">
        <v>368</v>
      </c>
      <c r="M15" s="244" t="s">
        <v>374</v>
      </c>
      <c r="N15" s="237"/>
    </row>
    <row r="16" spans="1:24" ht="14.25" customHeight="1" x14ac:dyDescent="0.25">
      <c r="A16" s="234"/>
      <c r="B16" s="252" t="s">
        <v>377</v>
      </c>
      <c r="C16" s="253" t="s">
        <v>441</v>
      </c>
      <c r="D16" s="254" t="s">
        <v>382</v>
      </c>
      <c r="E16" s="254" t="s">
        <v>383</v>
      </c>
      <c r="F16" s="255">
        <v>13.82</v>
      </c>
      <c r="G16" s="256" t="s">
        <v>375</v>
      </c>
      <c r="H16" s="256" t="s">
        <v>217</v>
      </c>
      <c r="I16" s="257">
        <v>1</v>
      </c>
      <c r="J16" s="258">
        <f t="shared" si="0"/>
        <v>13.82</v>
      </c>
      <c r="K16" s="235"/>
      <c r="L16" s="264" t="s">
        <v>433</v>
      </c>
      <c r="M16" s="265">
        <f t="shared" ref="M16:M22" si="1">SUMIF(D:D,L16,J:J)</f>
        <v>1810.7603999999997</v>
      </c>
      <c r="N16" s="237"/>
    </row>
    <row r="17" spans="1:14" ht="14.25" customHeight="1" x14ac:dyDescent="0.25">
      <c r="A17" s="234" t="str">
        <f>IF(C16="*&amp;APTO&amp;*","OK","")</f>
        <v/>
      </c>
      <c r="B17" s="252" t="s">
        <v>377</v>
      </c>
      <c r="C17" s="253" t="s">
        <v>442</v>
      </c>
      <c r="D17" s="254" t="s">
        <v>433</v>
      </c>
      <c r="E17" s="254" t="s">
        <v>383</v>
      </c>
      <c r="F17" s="255">
        <v>23.64</v>
      </c>
      <c r="G17" s="256" t="s">
        <v>375</v>
      </c>
      <c r="H17" s="256" t="s">
        <v>217</v>
      </c>
      <c r="I17" s="257">
        <v>1</v>
      </c>
      <c r="J17" s="258">
        <f t="shared" si="0"/>
        <v>23.64</v>
      </c>
      <c r="K17" s="235"/>
      <c r="L17" s="254" t="s">
        <v>382</v>
      </c>
      <c r="M17" s="265">
        <f t="shared" si="1"/>
        <v>2081.7799999999988</v>
      </c>
      <c r="N17" s="237"/>
    </row>
    <row r="18" spans="1:14" ht="14.25" customHeight="1" x14ac:dyDescent="0.25">
      <c r="A18" s="234"/>
      <c r="B18" s="252" t="s">
        <v>377</v>
      </c>
      <c r="C18" s="253" t="s">
        <v>443</v>
      </c>
      <c r="D18" s="254" t="s">
        <v>433</v>
      </c>
      <c r="E18" s="254" t="s">
        <v>383</v>
      </c>
      <c r="F18" s="255">
        <v>42.17</v>
      </c>
      <c r="G18" s="256" t="s">
        <v>375</v>
      </c>
      <c r="H18" s="256" t="s">
        <v>217</v>
      </c>
      <c r="I18" s="257">
        <v>1</v>
      </c>
      <c r="J18" s="258">
        <f t="shared" si="0"/>
        <v>42.17</v>
      </c>
      <c r="K18" s="235"/>
      <c r="L18" s="266" t="s">
        <v>431</v>
      </c>
      <c r="M18" s="265">
        <f t="shared" si="1"/>
        <v>36.93</v>
      </c>
      <c r="N18" s="237"/>
    </row>
    <row r="19" spans="1:14" ht="14.25" customHeight="1" x14ac:dyDescent="0.25">
      <c r="A19" s="234"/>
      <c r="B19" s="252" t="s">
        <v>377</v>
      </c>
      <c r="C19" s="253" t="s">
        <v>444</v>
      </c>
      <c r="D19" s="254" t="s">
        <v>382</v>
      </c>
      <c r="E19" s="254" t="s">
        <v>383</v>
      </c>
      <c r="F19" s="255">
        <v>6.67</v>
      </c>
      <c r="G19" s="256" t="s">
        <v>375</v>
      </c>
      <c r="H19" s="256" t="s">
        <v>217</v>
      </c>
      <c r="I19" s="257">
        <v>1</v>
      </c>
      <c r="J19" s="258">
        <f t="shared" si="0"/>
        <v>6.67</v>
      </c>
      <c r="K19" s="235"/>
      <c r="L19" s="266" t="s">
        <v>462</v>
      </c>
      <c r="M19" s="265">
        <f t="shared" si="1"/>
        <v>193.2353</v>
      </c>
      <c r="N19" s="237"/>
    </row>
    <row r="20" spans="1:14" ht="14.25" customHeight="1" x14ac:dyDescent="0.25">
      <c r="A20" s="234"/>
      <c r="B20" s="252" t="s">
        <v>377</v>
      </c>
      <c r="C20" s="253" t="s">
        <v>445</v>
      </c>
      <c r="D20" s="254" t="s">
        <v>382</v>
      </c>
      <c r="E20" s="254" t="s">
        <v>383</v>
      </c>
      <c r="F20" s="255">
        <v>2.16</v>
      </c>
      <c r="G20" s="256" t="s">
        <v>375</v>
      </c>
      <c r="H20" s="256" t="s">
        <v>217</v>
      </c>
      <c r="I20" s="257">
        <v>1</v>
      </c>
      <c r="J20" s="258">
        <f t="shared" si="0"/>
        <v>2.16</v>
      </c>
      <c r="K20" s="235"/>
      <c r="L20" s="266" t="s">
        <v>404</v>
      </c>
      <c r="M20" s="265">
        <f t="shared" si="1"/>
        <v>5830.0599999999995</v>
      </c>
      <c r="N20" s="237"/>
    </row>
    <row r="21" spans="1:14" ht="14.25" customHeight="1" x14ac:dyDescent="0.25">
      <c r="A21" s="234"/>
      <c r="B21" s="252" t="s">
        <v>377</v>
      </c>
      <c r="C21" s="253" t="s">
        <v>446</v>
      </c>
      <c r="D21" s="254" t="s">
        <v>433</v>
      </c>
      <c r="E21" s="254" t="s">
        <v>383</v>
      </c>
      <c r="F21" s="255">
        <v>3.68</v>
      </c>
      <c r="G21" s="256" t="s">
        <v>375</v>
      </c>
      <c r="H21" s="256" t="s">
        <v>217</v>
      </c>
      <c r="I21" s="257">
        <v>1</v>
      </c>
      <c r="J21" s="258">
        <f t="shared" ref="J21" si="2">F21*I21</f>
        <v>3.68</v>
      </c>
      <c r="K21" s="235"/>
      <c r="L21" s="266" t="s">
        <v>435</v>
      </c>
      <c r="M21" s="265">
        <f t="shared" si="1"/>
        <v>3468.5600000000004</v>
      </c>
      <c r="N21" s="237"/>
    </row>
    <row r="22" spans="1:14" ht="14.25" customHeight="1" x14ac:dyDescent="0.25">
      <c r="A22" s="234"/>
      <c r="B22" s="252" t="s">
        <v>377</v>
      </c>
      <c r="C22" s="253" t="s">
        <v>447</v>
      </c>
      <c r="D22" s="254" t="s">
        <v>433</v>
      </c>
      <c r="E22" s="254" t="s">
        <v>383</v>
      </c>
      <c r="F22" s="255">
        <f>3.6+2.57</f>
        <v>6.17</v>
      </c>
      <c r="G22" s="256" t="s">
        <v>375</v>
      </c>
      <c r="H22" s="256" t="s">
        <v>217</v>
      </c>
      <c r="I22" s="257">
        <v>1</v>
      </c>
      <c r="J22" s="258">
        <f t="shared" si="0"/>
        <v>6.17</v>
      </c>
      <c r="K22" s="235"/>
      <c r="L22" s="266" t="s">
        <v>496</v>
      </c>
      <c r="M22" s="265">
        <f t="shared" si="1"/>
        <v>289.548</v>
      </c>
      <c r="N22" s="237"/>
    </row>
    <row r="23" spans="1:14" ht="14.25" customHeight="1" x14ac:dyDescent="0.25">
      <c r="A23" s="234"/>
      <c r="B23" s="252" t="s">
        <v>377</v>
      </c>
      <c r="C23" s="253" t="s">
        <v>448</v>
      </c>
      <c r="D23" s="254" t="s">
        <v>382</v>
      </c>
      <c r="E23" s="254" t="s">
        <v>383</v>
      </c>
      <c r="F23" s="255">
        <v>42.56</v>
      </c>
      <c r="G23" s="256" t="s">
        <v>375</v>
      </c>
      <c r="H23" s="256" t="s">
        <v>217</v>
      </c>
      <c r="I23" s="257">
        <v>1</v>
      </c>
      <c r="J23" s="258">
        <f t="shared" si="0"/>
        <v>42.56</v>
      </c>
      <c r="K23" s="235"/>
      <c r="L23" s="266" t="s">
        <v>436</v>
      </c>
      <c r="M23" s="265">
        <f t="shared" ref="M23:M28" si="3">SUMIF(D:D,L23,J:J)</f>
        <v>14.64</v>
      </c>
      <c r="N23" s="237"/>
    </row>
    <row r="24" spans="1:14" ht="14.25" customHeight="1" x14ac:dyDescent="0.25">
      <c r="A24" s="234"/>
      <c r="B24" s="252" t="s">
        <v>377</v>
      </c>
      <c r="C24" s="253" t="s">
        <v>449</v>
      </c>
      <c r="D24" s="254" t="s">
        <v>382</v>
      </c>
      <c r="E24" s="254" t="s">
        <v>383</v>
      </c>
      <c r="F24" s="255">
        <v>10.1</v>
      </c>
      <c r="G24" s="256" t="s">
        <v>375</v>
      </c>
      <c r="H24" s="256" t="s">
        <v>217</v>
      </c>
      <c r="I24" s="257">
        <v>1</v>
      </c>
      <c r="J24" s="258">
        <f t="shared" si="0"/>
        <v>10.1</v>
      </c>
      <c r="K24" s="235"/>
      <c r="L24" s="266" t="s">
        <v>341</v>
      </c>
      <c r="M24" s="265">
        <f t="shared" si="3"/>
        <v>390.49</v>
      </c>
      <c r="N24" s="237"/>
    </row>
    <row r="25" spans="1:14" ht="14.25" customHeight="1" x14ac:dyDescent="0.25">
      <c r="A25" s="234"/>
      <c r="B25" s="252" t="s">
        <v>377</v>
      </c>
      <c r="C25" s="253" t="s">
        <v>450</v>
      </c>
      <c r="D25" s="254" t="s">
        <v>382</v>
      </c>
      <c r="E25" s="254" t="s">
        <v>383</v>
      </c>
      <c r="F25" s="255">
        <v>3.51</v>
      </c>
      <c r="G25" s="256" t="s">
        <v>375</v>
      </c>
      <c r="H25" s="256" t="s">
        <v>217</v>
      </c>
      <c r="I25" s="257">
        <v>1</v>
      </c>
      <c r="J25" s="258">
        <f t="shared" si="0"/>
        <v>3.51</v>
      </c>
      <c r="K25" s="235"/>
      <c r="L25" s="266" t="s">
        <v>217</v>
      </c>
      <c r="M25" s="265">
        <f t="shared" si="3"/>
        <v>811.4</v>
      </c>
      <c r="N25" s="237"/>
    </row>
    <row r="26" spans="1:14" ht="14.25" customHeight="1" x14ac:dyDescent="0.25">
      <c r="A26" s="234"/>
      <c r="B26" s="252" t="s">
        <v>377</v>
      </c>
      <c r="C26" s="253" t="s">
        <v>451</v>
      </c>
      <c r="D26" s="254" t="s">
        <v>382</v>
      </c>
      <c r="E26" s="254" t="s">
        <v>432</v>
      </c>
      <c r="F26" s="255">
        <f>9.58+14.69</f>
        <v>24.27</v>
      </c>
      <c r="G26" s="256" t="s">
        <v>375</v>
      </c>
      <c r="H26" s="256" t="s">
        <v>217</v>
      </c>
      <c r="I26" s="257">
        <v>1</v>
      </c>
      <c r="J26" s="258">
        <f t="shared" si="0"/>
        <v>24.27</v>
      </c>
      <c r="K26" s="235"/>
      <c r="L26" s="266" t="s">
        <v>517</v>
      </c>
      <c r="M26" s="265">
        <f t="shared" si="3"/>
        <v>3692.7739999999999</v>
      </c>
      <c r="N26" s="237"/>
    </row>
    <row r="27" spans="1:14" ht="14.25" customHeight="1" x14ac:dyDescent="0.25">
      <c r="A27" s="234"/>
      <c r="B27" s="252" t="s">
        <v>377</v>
      </c>
      <c r="C27" s="253" t="s">
        <v>452</v>
      </c>
      <c r="D27" s="254" t="s">
        <v>382</v>
      </c>
      <c r="E27" s="254" t="s">
        <v>432</v>
      </c>
      <c r="F27" s="255">
        <v>19.62</v>
      </c>
      <c r="G27" s="256" t="s">
        <v>375</v>
      </c>
      <c r="H27" s="256" t="s">
        <v>217</v>
      </c>
      <c r="I27" s="257">
        <v>1</v>
      </c>
      <c r="J27" s="258">
        <f t="shared" si="0"/>
        <v>19.62</v>
      </c>
      <c r="K27" s="235"/>
      <c r="L27" s="266" t="s">
        <v>533</v>
      </c>
      <c r="M27" s="265">
        <f t="shared" si="3"/>
        <v>137.952</v>
      </c>
      <c r="N27" s="237"/>
    </row>
    <row r="28" spans="1:14" ht="14.25" customHeight="1" x14ac:dyDescent="0.25">
      <c r="A28" s="234"/>
      <c r="B28" s="252" t="s">
        <v>377</v>
      </c>
      <c r="C28" s="253" t="s">
        <v>453</v>
      </c>
      <c r="D28" s="254" t="s">
        <v>382</v>
      </c>
      <c r="E28" s="254" t="s">
        <v>432</v>
      </c>
      <c r="F28" s="255">
        <v>24.69</v>
      </c>
      <c r="G28" s="256" t="s">
        <v>375</v>
      </c>
      <c r="H28" s="256" t="s">
        <v>217</v>
      </c>
      <c r="I28" s="257">
        <v>1</v>
      </c>
      <c r="J28" s="258">
        <f t="shared" si="0"/>
        <v>24.69</v>
      </c>
      <c r="K28" s="235"/>
      <c r="L28" s="266"/>
      <c r="M28" s="265">
        <f t="shared" si="3"/>
        <v>0</v>
      </c>
      <c r="N28" s="237"/>
    </row>
    <row r="29" spans="1:14" ht="14.25" customHeight="1" thickBot="1" x14ac:dyDescent="0.3">
      <c r="A29" s="234"/>
      <c r="B29" s="252" t="s">
        <v>377</v>
      </c>
      <c r="C29" s="253" t="s">
        <v>454</v>
      </c>
      <c r="D29" s="254" t="s">
        <v>431</v>
      </c>
      <c r="E29" s="254" t="s">
        <v>432</v>
      </c>
      <c r="F29" s="255">
        <v>26.85</v>
      </c>
      <c r="G29" s="256" t="s">
        <v>376</v>
      </c>
      <c r="H29" s="256" t="s">
        <v>217</v>
      </c>
      <c r="I29" s="257">
        <v>1</v>
      </c>
      <c r="J29" s="258">
        <f t="shared" si="0"/>
        <v>26.85</v>
      </c>
      <c r="K29" s="235"/>
      <c r="L29" s="266"/>
      <c r="M29" s="265">
        <f>SUMIF(D:D,L29,J:J)</f>
        <v>0</v>
      </c>
      <c r="N29" s="237"/>
    </row>
    <row r="30" spans="1:14" ht="14.25" customHeight="1" thickBot="1" x14ac:dyDescent="0.3">
      <c r="A30" s="234"/>
      <c r="B30" s="252" t="s">
        <v>377</v>
      </c>
      <c r="C30" s="253" t="s">
        <v>455</v>
      </c>
      <c r="D30" s="254" t="s">
        <v>431</v>
      </c>
      <c r="E30" s="254" t="s">
        <v>383</v>
      </c>
      <c r="F30" s="255">
        <v>10.08</v>
      </c>
      <c r="G30" s="256" t="s">
        <v>376</v>
      </c>
      <c r="H30" s="256" t="s">
        <v>217</v>
      </c>
      <c r="I30" s="257">
        <v>1</v>
      </c>
      <c r="J30" s="258">
        <f t="shared" si="0"/>
        <v>10.08</v>
      </c>
      <c r="K30" s="235"/>
      <c r="L30" s="314" t="s">
        <v>385</v>
      </c>
      <c r="M30" s="315"/>
      <c r="N30" s="237"/>
    </row>
    <row r="31" spans="1:14" ht="14.25" customHeight="1" x14ac:dyDescent="0.25">
      <c r="A31" s="234"/>
      <c r="B31" s="252" t="s">
        <v>377</v>
      </c>
      <c r="C31" s="253" t="s">
        <v>456</v>
      </c>
      <c r="D31" s="254" t="s">
        <v>462</v>
      </c>
      <c r="E31" s="254" t="s">
        <v>383</v>
      </c>
      <c r="F31" s="255">
        <f>32.67*1.09</f>
        <v>35.610300000000002</v>
      </c>
      <c r="G31" s="256" t="s">
        <v>375</v>
      </c>
      <c r="H31" s="256" t="s">
        <v>217</v>
      </c>
      <c r="I31" s="257">
        <v>1</v>
      </c>
      <c r="J31" s="258">
        <f t="shared" si="0"/>
        <v>35.610300000000002</v>
      </c>
      <c r="K31" s="235"/>
      <c r="L31" s="263" t="s">
        <v>368</v>
      </c>
      <c r="M31" s="244" t="s">
        <v>374</v>
      </c>
      <c r="N31" s="237"/>
    </row>
    <row r="32" spans="1:14" ht="14.25" customHeight="1" x14ac:dyDescent="0.25">
      <c r="A32" s="234"/>
      <c r="B32" s="252" t="s">
        <v>377</v>
      </c>
      <c r="C32" s="253" t="s">
        <v>396</v>
      </c>
      <c r="D32" s="254" t="s">
        <v>404</v>
      </c>
      <c r="E32" s="254" t="s">
        <v>383</v>
      </c>
      <c r="F32" s="255">
        <v>1297.44</v>
      </c>
      <c r="G32" s="256" t="s">
        <v>376</v>
      </c>
      <c r="H32" s="256" t="s">
        <v>217</v>
      </c>
      <c r="I32" s="257">
        <v>1</v>
      </c>
      <c r="J32" s="258">
        <f t="shared" si="0"/>
        <v>1297.44</v>
      </c>
      <c r="K32" s="235"/>
      <c r="L32" s="264" t="s">
        <v>383</v>
      </c>
      <c r="M32" s="265">
        <f>SUMIF(E:E,L32,J:J)</f>
        <v>14653.235300000004</v>
      </c>
      <c r="N32" s="237"/>
    </row>
    <row r="33" spans="1:14" ht="14.25" customHeight="1" x14ac:dyDescent="0.25">
      <c r="A33" s="234"/>
      <c r="B33" s="252" t="s">
        <v>377</v>
      </c>
      <c r="C33" s="253" t="s">
        <v>457</v>
      </c>
      <c r="D33" s="254" t="s">
        <v>462</v>
      </c>
      <c r="E33" s="254" t="s">
        <v>383</v>
      </c>
      <c r="F33" s="255">
        <f>56.1*1.25</f>
        <v>70.125</v>
      </c>
      <c r="G33" s="256" t="s">
        <v>375</v>
      </c>
      <c r="H33" s="256" t="s">
        <v>217</v>
      </c>
      <c r="I33" s="257">
        <v>1</v>
      </c>
      <c r="J33" s="258">
        <f t="shared" si="0"/>
        <v>70.125</v>
      </c>
      <c r="K33" s="235"/>
      <c r="L33" s="266" t="s">
        <v>432</v>
      </c>
      <c r="M33" s="265">
        <f>SUMIF(E:E,L33,J:J)</f>
        <v>461.67000000000013</v>
      </c>
      <c r="N33" s="237"/>
    </row>
    <row r="34" spans="1:14" ht="14.25" customHeight="1" x14ac:dyDescent="0.25">
      <c r="A34" s="234"/>
      <c r="B34" s="252" t="s">
        <v>377</v>
      </c>
      <c r="C34" s="253" t="s">
        <v>458</v>
      </c>
      <c r="D34" s="254" t="s">
        <v>382</v>
      </c>
      <c r="E34" s="254" t="s">
        <v>383</v>
      </c>
      <c r="F34" s="255">
        <v>67.5</v>
      </c>
      <c r="G34" s="256" t="s">
        <v>375</v>
      </c>
      <c r="H34" s="256" t="s">
        <v>217</v>
      </c>
      <c r="I34" s="257">
        <v>1</v>
      </c>
      <c r="J34" s="258">
        <f t="shared" si="0"/>
        <v>67.5</v>
      </c>
      <c r="K34" s="235"/>
      <c r="L34" s="266" t="s">
        <v>217</v>
      </c>
      <c r="M34" s="258">
        <f>SUMIF(E:E,L34,J:J)</f>
        <v>2568.4044000000008</v>
      </c>
      <c r="N34" s="237"/>
    </row>
    <row r="35" spans="1:14" ht="14.25" customHeight="1" x14ac:dyDescent="0.25">
      <c r="A35" s="234"/>
      <c r="B35" s="252" t="s">
        <v>377</v>
      </c>
      <c r="C35" s="253" t="s">
        <v>459</v>
      </c>
      <c r="D35" s="254" t="s">
        <v>382</v>
      </c>
      <c r="E35" s="254" t="s">
        <v>383</v>
      </c>
      <c r="F35" s="255">
        <v>3.42</v>
      </c>
      <c r="G35" s="256" t="s">
        <v>375</v>
      </c>
      <c r="H35" s="256" t="s">
        <v>217</v>
      </c>
      <c r="I35" s="257">
        <v>1</v>
      </c>
      <c r="J35" s="258">
        <f t="shared" si="0"/>
        <v>3.42</v>
      </c>
      <c r="K35" s="235"/>
      <c r="L35" s="266" t="s">
        <v>440</v>
      </c>
      <c r="M35" s="258">
        <f>SUMIF(E:E,L35,J:J)</f>
        <v>106.48</v>
      </c>
      <c r="N35" s="237"/>
    </row>
    <row r="36" spans="1:14" ht="14.25" customHeight="1" x14ac:dyDescent="0.25">
      <c r="A36" s="234"/>
      <c r="B36" s="252" t="s">
        <v>377</v>
      </c>
      <c r="C36" s="253" t="s">
        <v>460</v>
      </c>
      <c r="D36" s="254" t="s">
        <v>382</v>
      </c>
      <c r="E36" s="254" t="s">
        <v>383</v>
      </c>
      <c r="F36" s="255">
        <v>114.86</v>
      </c>
      <c r="G36" s="256" t="s">
        <v>375</v>
      </c>
      <c r="H36" s="256" t="s">
        <v>217</v>
      </c>
      <c r="I36" s="257">
        <v>1</v>
      </c>
      <c r="J36" s="258">
        <f t="shared" si="0"/>
        <v>114.86</v>
      </c>
      <c r="K36" s="235"/>
      <c r="L36" s="266" t="s">
        <v>436</v>
      </c>
      <c r="M36" s="258">
        <f>SUMIF(E:E,L36,J:J)</f>
        <v>14.64</v>
      </c>
      <c r="N36" s="237"/>
    </row>
    <row r="37" spans="1:14" ht="14.25" customHeight="1" x14ac:dyDescent="0.25">
      <c r="A37" s="234"/>
      <c r="B37" s="252" t="s">
        <v>377</v>
      </c>
      <c r="C37" s="253" t="s">
        <v>461</v>
      </c>
      <c r="D37" s="254" t="s">
        <v>382</v>
      </c>
      <c r="E37" s="254" t="s">
        <v>383</v>
      </c>
      <c r="F37" s="255">
        <v>3.6</v>
      </c>
      <c r="G37" s="256" t="s">
        <v>375</v>
      </c>
      <c r="H37" s="256" t="s">
        <v>217</v>
      </c>
      <c r="I37" s="257">
        <v>1</v>
      </c>
      <c r="J37" s="258">
        <f t="shared" si="0"/>
        <v>3.6</v>
      </c>
      <c r="K37" s="235"/>
      <c r="L37" s="250" t="s">
        <v>193</v>
      </c>
      <c r="M37" s="258">
        <f>SUMIF(E:E,L37,J:J)</f>
        <v>953.70000000000027</v>
      </c>
      <c r="N37" s="237"/>
    </row>
    <row r="38" spans="1:14" ht="14.25" customHeight="1" x14ac:dyDescent="0.25">
      <c r="A38" s="234"/>
      <c r="B38" s="252" t="s">
        <v>377</v>
      </c>
      <c r="C38" s="253" t="s">
        <v>464</v>
      </c>
      <c r="D38" s="254" t="s">
        <v>382</v>
      </c>
      <c r="E38" s="254" t="s">
        <v>383</v>
      </c>
      <c r="F38" s="255">
        <v>114.5</v>
      </c>
      <c r="G38" s="256" t="s">
        <v>375</v>
      </c>
      <c r="H38" s="256" t="s">
        <v>217</v>
      </c>
      <c r="I38" s="257">
        <v>1</v>
      </c>
      <c r="J38" s="258">
        <f t="shared" ref="J38:J42" si="4">F38*I38</f>
        <v>114.5</v>
      </c>
      <c r="K38" s="235"/>
      <c r="L38" s="267"/>
      <c r="M38" s="268"/>
      <c r="N38" s="237"/>
    </row>
    <row r="39" spans="1:14" ht="14.25" customHeight="1" x14ac:dyDescent="0.25">
      <c r="A39" s="234"/>
      <c r="B39" s="252" t="s">
        <v>377</v>
      </c>
      <c r="C39" s="253" t="s">
        <v>463</v>
      </c>
      <c r="D39" s="254" t="s">
        <v>382</v>
      </c>
      <c r="E39" s="254" t="s">
        <v>383</v>
      </c>
      <c r="F39" s="255">
        <v>3.6</v>
      </c>
      <c r="G39" s="256" t="s">
        <v>375</v>
      </c>
      <c r="H39" s="256" t="s">
        <v>217</v>
      </c>
      <c r="I39" s="257">
        <v>1</v>
      </c>
      <c r="J39" s="258">
        <f t="shared" si="4"/>
        <v>3.6</v>
      </c>
      <c r="K39" s="235"/>
      <c r="L39" s="267"/>
      <c r="M39" s="268"/>
      <c r="N39" s="237"/>
    </row>
    <row r="40" spans="1:14" ht="14.25" customHeight="1" x14ac:dyDescent="0.25">
      <c r="A40" s="234"/>
      <c r="B40" s="252" t="s">
        <v>377</v>
      </c>
      <c r="C40" s="253" t="s">
        <v>439</v>
      </c>
      <c r="D40" s="254" t="s">
        <v>433</v>
      </c>
      <c r="E40" s="254" t="s">
        <v>440</v>
      </c>
      <c r="F40" s="255">
        <v>56.43</v>
      </c>
      <c r="G40" s="256" t="s">
        <v>375</v>
      </c>
      <c r="H40" s="256" t="s">
        <v>217</v>
      </c>
      <c r="I40" s="257">
        <v>1</v>
      </c>
      <c r="J40" s="258">
        <f t="shared" si="4"/>
        <v>56.43</v>
      </c>
      <c r="K40" s="235"/>
      <c r="L40" s="267"/>
      <c r="M40" s="268"/>
      <c r="N40" s="237"/>
    </row>
    <row r="41" spans="1:14" ht="14.25" customHeight="1" x14ac:dyDescent="0.25">
      <c r="A41" s="234"/>
      <c r="B41" s="252" t="s">
        <v>377</v>
      </c>
      <c r="C41" s="253" t="s">
        <v>437</v>
      </c>
      <c r="D41" s="254" t="s">
        <v>433</v>
      </c>
      <c r="E41" s="254" t="s">
        <v>440</v>
      </c>
      <c r="F41" s="255">
        <v>9.33</v>
      </c>
      <c r="G41" s="256" t="s">
        <v>375</v>
      </c>
      <c r="H41" s="256" t="s">
        <v>217</v>
      </c>
      <c r="I41" s="257">
        <v>1</v>
      </c>
      <c r="J41" s="258">
        <f t="shared" si="4"/>
        <v>9.33</v>
      </c>
      <c r="K41" s="235"/>
      <c r="L41" s="267"/>
      <c r="M41" s="268"/>
      <c r="N41" s="237"/>
    </row>
    <row r="42" spans="1:14" ht="14.25" customHeight="1" x14ac:dyDescent="0.25">
      <c r="A42" s="234"/>
      <c r="B42" s="252" t="s">
        <v>377</v>
      </c>
      <c r="C42" s="253" t="s">
        <v>438</v>
      </c>
      <c r="D42" s="254" t="s">
        <v>433</v>
      </c>
      <c r="E42" s="254" t="s">
        <v>440</v>
      </c>
      <c r="F42" s="255">
        <f>4.04+3*1.25*0.18</f>
        <v>4.7149999999999999</v>
      </c>
      <c r="G42" s="256" t="s">
        <v>375</v>
      </c>
      <c r="H42" s="256" t="s">
        <v>217</v>
      </c>
      <c r="I42" s="257">
        <v>1</v>
      </c>
      <c r="J42" s="258">
        <f t="shared" si="4"/>
        <v>4.7149999999999999</v>
      </c>
      <c r="K42" s="235"/>
      <c r="L42" s="267"/>
      <c r="M42" s="268"/>
      <c r="N42" s="237"/>
    </row>
    <row r="43" spans="1:14" ht="14.25" customHeight="1" x14ac:dyDescent="0.25">
      <c r="A43" s="234"/>
      <c r="B43" s="252" t="s">
        <v>377</v>
      </c>
      <c r="C43" s="253" t="s">
        <v>468</v>
      </c>
      <c r="D43" s="254" t="s">
        <v>382</v>
      </c>
      <c r="E43" s="254" t="s">
        <v>432</v>
      </c>
      <c r="F43" s="255">
        <v>6.3</v>
      </c>
      <c r="G43" s="256" t="s">
        <v>375</v>
      </c>
      <c r="H43" s="256" t="s">
        <v>217</v>
      </c>
      <c r="I43" s="257">
        <v>1</v>
      </c>
      <c r="J43" s="258">
        <f t="shared" ref="J43" si="5">F43*I43</f>
        <v>6.3</v>
      </c>
      <c r="K43" s="235"/>
      <c r="L43" s="267"/>
      <c r="M43" s="268"/>
      <c r="N43" s="237"/>
    </row>
    <row r="44" spans="1:14" ht="14.25" customHeight="1" x14ac:dyDescent="0.25">
      <c r="A44" s="234"/>
      <c r="B44" s="252" t="s">
        <v>377</v>
      </c>
      <c r="C44" s="253" t="s">
        <v>469</v>
      </c>
      <c r="D44" s="254" t="s">
        <v>382</v>
      </c>
      <c r="E44" s="254" t="s">
        <v>193</v>
      </c>
      <c r="F44" s="255">
        <f>17.3+20*1.25*0.175</f>
        <v>21.675000000000001</v>
      </c>
      <c r="G44" s="256" t="s">
        <v>375</v>
      </c>
      <c r="H44" s="256" t="s">
        <v>217</v>
      </c>
      <c r="I44" s="257">
        <v>1</v>
      </c>
      <c r="J44" s="258">
        <f t="shared" ref="J44" si="6">F44*I44</f>
        <v>21.675000000000001</v>
      </c>
      <c r="K44" s="235"/>
      <c r="L44" s="267"/>
      <c r="M44" s="268"/>
      <c r="N44" s="237"/>
    </row>
    <row r="45" spans="1:14" ht="14.25" customHeight="1" x14ac:dyDescent="0.25">
      <c r="A45" s="234"/>
      <c r="B45" s="252" t="s">
        <v>377</v>
      </c>
      <c r="C45" s="253" t="s">
        <v>441</v>
      </c>
      <c r="D45" s="254" t="s">
        <v>382</v>
      </c>
      <c r="E45" s="254" t="s">
        <v>383</v>
      </c>
      <c r="F45" s="255">
        <v>16.989999999999998</v>
      </c>
      <c r="G45" s="256" t="s">
        <v>375</v>
      </c>
      <c r="H45" s="256" t="s">
        <v>217</v>
      </c>
      <c r="I45" s="257">
        <v>1</v>
      </c>
      <c r="J45" s="258">
        <f t="shared" ref="J45:J54" si="7">F45*I45</f>
        <v>16.989999999999998</v>
      </c>
      <c r="K45" s="235"/>
      <c r="L45" s="267"/>
      <c r="M45" s="268"/>
      <c r="N45" s="237"/>
    </row>
    <row r="46" spans="1:14" ht="14.25" customHeight="1" x14ac:dyDescent="0.25">
      <c r="A46" s="234"/>
      <c r="B46" s="252" t="s">
        <v>377</v>
      </c>
      <c r="C46" s="253" t="s">
        <v>442</v>
      </c>
      <c r="D46" s="254" t="s">
        <v>433</v>
      </c>
      <c r="E46" s="254" t="s">
        <v>383</v>
      </c>
      <c r="F46" s="255">
        <v>23.88</v>
      </c>
      <c r="G46" s="256" t="s">
        <v>375</v>
      </c>
      <c r="H46" s="256" t="s">
        <v>217</v>
      </c>
      <c r="I46" s="257">
        <v>1</v>
      </c>
      <c r="J46" s="258">
        <f t="shared" si="7"/>
        <v>23.88</v>
      </c>
      <c r="K46" s="235"/>
      <c r="L46" s="267"/>
      <c r="M46" s="268"/>
      <c r="N46" s="237"/>
    </row>
    <row r="47" spans="1:14" ht="14.25" customHeight="1" x14ac:dyDescent="0.25">
      <c r="A47" s="234"/>
      <c r="B47" s="252" t="s">
        <v>377</v>
      </c>
      <c r="C47" s="253" t="s">
        <v>443</v>
      </c>
      <c r="D47" s="254" t="s">
        <v>433</v>
      </c>
      <c r="E47" s="254" t="s">
        <v>383</v>
      </c>
      <c r="F47" s="255">
        <v>41.27</v>
      </c>
      <c r="G47" s="256" t="s">
        <v>375</v>
      </c>
      <c r="H47" s="256" t="s">
        <v>217</v>
      </c>
      <c r="I47" s="257">
        <v>1</v>
      </c>
      <c r="J47" s="258">
        <f t="shared" si="7"/>
        <v>41.27</v>
      </c>
      <c r="K47" s="235"/>
      <c r="L47" s="267"/>
      <c r="M47" s="268"/>
      <c r="N47" s="237"/>
    </row>
    <row r="48" spans="1:14" ht="14.25" customHeight="1" x14ac:dyDescent="0.25">
      <c r="A48" s="234"/>
      <c r="B48" s="252" t="s">
        <v>377</v>
      </c>
      <c r="C48" s="253" t="s">
        <v>444</v>
      </c>
      <c r="D48" s="254" t="s">
        <v>382</v>
      </c>
      <c r="E48" s="254" t="s">
        <v>383</v>
      </c>
      <c r="F48" s="255">
        <v>11.06</v>
      </c>
      <c r="G48" s="256" t="s">
        <v>375</v>
      </c>
      <c r="H48" s="256" t="s">
        <v>217</v>
      </c>
      <c r="I48" s="257">
        <v>1</v>
      </c>
      <c r="J48" s="258">
        <f t="shared" si="7"/>
        <v>11.06</v>
      </c>
      <c r="K48" s="235"/>
      <c r="L48" s="267"/>
      <c r="M48" s="268"/>
      <c r="N48" s="237"/>
    </row>
    <row r="49" spans="1:14" ht="14.25" customHeight="1" x14ac:dyDescent="0.25">
      <c r="A49" s="234"/>
      <c r="B49" s="252" t="s">
        <v>377</v>
      </c>
      <c r="C49" s="253" t="s">
        <v>445</v>
      </c>
      <c r="D49" s="254" t="s">
        <v>382</v>
      </c>
      <c r="E49" s="254" t="s">
        <v>383</v>
      </c>
      <c r="F49" s="255">
        <v>2.16</v>
      </c>
      <c r="G49" s="256" t="s">
        <v>375</v>
      </c>
      <c r="H49" s="256" t="s">
        <v>217</v>
      </c>
      <c r="I49" s="257">
        <v>1</v>
      </c>
      <c r="J49" s="258">
        <f t="shared" si="7"/>
        <v>2.16</v>
      </c>
      <c r="K49" s="235"/>
      <c r="L49" s="267"/>
      <c r="M49" s="268"/>
      <c r="N49" s="237"/>
    </row>
    <row r="50" spans="1:14" ht="14.25" customHeight="1" x14ac:dyDescent="0.25">
      <c r="A50" s="234"/>
      <c r="B50" s="252" t="s">
        <v>377</v>
      </c>
      <c r="C50" s="253" t="s">
        <v>446</v>
      </c>
      <c r="D50" s="254" t="s">
        <v>433</v>
      </c>
      <c r="E50" s="254" t="s">
        <v>383</v>
      </c>
      <c r="F50" s="255">
        <v>3.68</v>
      </c>
      <c r="G50" s="256" t="s">
        <v>375</v>
      </c>
      <c r="H50" s="256" t="s">
        <v>217</v>
      </c>
      <c r="I50" s="257">
        <v>1</v>
      </c>
      <c r="J50" s="258">
        <f t="shared" si="7"/>
        <v>3.68</v>
      </c>
      <c r="K50" s="235"/>
      <c r="L50" s="267"/>
      <c r="M50" s="268"/>
      <c r="N50" s="237"/>
    </row>
    <row r="51" spans="1:14" ht="14.25" customHeight="1" x14ac:dyDescent="0.25">
      <c r="A51" s="234"/>
      <c r="B51" s="252" t="s">
        <v>377</v>
      </c>
      <c r="C51" s="253" t="s">
        <v>447</v>
      </c>
      <c r="D51" s="254" t="s">
        <v>433</v>
      </c>
      <c r="E51" s="254" t="s">
        <v>383</v>
      </c>
      <c r="F51" s="255">
        <f>3.6+2.57</f>
        <v>6.17</v>
      </c>
      <c r="G51" s="256" t="s">
        <v>375</v>
      </c>
      <c r="H51" s="256" t="s">
        <v>217</v>
      </c>
      <c r="I51" s="257">
        <v>1</v>
      </c>
      <c r="J51" s="258">
        <f t="shared" si="7"/>
        <v>6.17</v>
      </c>
      <c r="K51" s="235"/>
      <c r="L51" s="267"/>
      <c r="M51" s="268"/>
      <c r="N51" s="237"/>
    </row>
    <row r="52" spans="1:14" ht="14.25" customHeight="1" x14ac:dyDescent="0.25">
      <c r="A52" s="234"/>
      <c r="B52" s="252" t="s">
        <v>465</v>
      </c>
      <c r="C52" s="253" t="s">
        <v>466</v>
      </c>
      <c r="D52" s="254" t="s">
        <v>382</v>
      </c>
      <c r="E52" s="254" t="s">
        <v>432</v>
      </c>
      <c r="F52" s="255">
        <v>6.3</v>
      </c>
      <c r="G52" s="256" t="s">
        <v>375</v>
      </c>
      <c r="H52" s="256" t="s">
        <v>217</v>
      </c>
      <c r="I52" s="257">
        <v>1</v>
      </c>
      <c r="J52" s="258">
        <f t="shared" si="7"/>
        <v>6.3</v>
      </c>
      <c r="K52" s="235"/>
      <c r="L52" s="267"/>
      <c r="M52" s="268"/>
      <c r="N52" s="237"/>
    </row>
    <row r="53" spans="1:14" ht="14.25" customHeight="1" x14ac:dyDescent="0.25">
      <c r="A53" s="234"/>
      <c r="B53" s="252" t="s">
        <v>465</v>
      </c>
      <c r="C53" s="253" t="s">
        <v>467</v>
      </c>
      <c r="D53" s="254" t="s">
        <v>382</v>
      </c>
      <c r="E53" s="254" t="s">
        <v>193</v>
      </c>
      <c r="F53" s="255">
        <f>17.3+20*1.25*0.175</f>
        <v>21.675000000000001</v>
      </c>
      <c r="G53" s="256" t="s">
        <v>375</v>
      </c>
      <c r="H53" s="256" t="s">
        <v>217</v>
      </c>
      <c r="I53" s="257">
        <v>1</v>
      </c>
      <c r="J53" s="258">
        <f t="shared" si="7"/>
        <v>21.675000000000001</v>
      </c>
      <c r="K53" s="235"/>
      <c r="L53" s="267"/>
      <c r="M53" s="268"/>
      <c r="N53" s="237"/>
    </row>
    <row r="54" spans="1:14" ht="14.25" customHeight="1" x14ac:dyDescent="0.25">
      <c r="A54" s="234"/>
      <c r="B54" s="252" t="s">
        <v>465</v>
      </c>
      <c r="C54" s="253" t="s">
        <v>468</v>
      </c>
      <c r="D54" s="254" t="s">
        <v>382</v>
      </c>
      <c r="E54" s="254" t="s">
        <v>432</v>
      </c>
      <c r="F54" s="255">
        <v>6.3</v>
      </c>
      <c r="G54" s="256" t="s">
        <v>375</v>
      </c>
      <c r="H54" s="256" t="s">
        <v>217</v>
      </c>
      <c r="I54" s="257">
        <v>1</v>
      </c>
      <c r="J54" s="258">
        <f t="shared" si="7"/>
        <v>6.3</v>
      </c>
      <c r="K54" s="235"/>
      <c r="L54" s="267"/>
      <c r="M54" s="268"/>
      <c r="N54" s="237"/>
    </row>
    <row r="55" spans="1:14" ht="14.25" customHeight="1" x14ac:dyDescent="0.25">
      <c r="A55" s="234"/>
      <c r="B55" s="252" t="s">
        <v>465</v>
      </c>
      <c r="C55" s="253" t="s">
        <v>469</v>
      </c>
      <c r="D55" s="254" t="s">
        <v>382</v>
      </c>
      <c r="E55" s="254" t="s">
        <v>193</v>
      </c>
      <c r="F55" s="255">
        <f>17.3+20*1.25*0.175</f>
        <v>21.675000000000001</v>
      </c>
      <c r="G55" s="256" t="s">
        <v>375</v>
      </c>
      <c r="H55" s="256" t="s">
        <v>217</v>
      </c>
      <c r="I55" s="257">
        <v>1</v>
      </c>
      <c r="J55" s="258">
        <f t="shared" ref="J55:J70" si="8">F55*I55</f>
        <v>21.675000000000001</v>
      </c>
      <c r="K55" s="235"/>
      <c r="L55" s="267"/>
      <c r="M55" s="268"/>
      <c r="N55" s="237"/>
    </row>
    <row r="56" spans="1:14" ht="14.25" customHeight="1" x14ac:dyDescent="0.25">
      <c r="A56" s="234"/>
      <c r="B56" s="252" t="s">
        <v>465</v>
      </c>
      <c r="C56" s="253" t="s">
        <v>396</v>
      </c>
      <c r="D56" s="254" t="s">
        <v>404</v>
      </c>
      <c r="E56" s="254" t="s">
        <v>383</v>
      </c>
      <c r="F56" s="255">
        <v>2127.15</v>
      </c>
      <c r="G56" s="256" t="s">
        <v>376</v>
      </c>
      <c r="H56" s="256" t="s">
        <v>217</v>
      </c>
      <c r="I56" s="257">
        <v>1</v>
      </c>
      <c r="J56" s="258">
        <f t="shared" si="8"/>
        <v>2127.15</v>
      </c>
      <c r="K56" s="235"/>
      <c r="L56" s="267"/>
      <c r="M56" s="268"/>
      <c r="N56" s="237"/>
    </row>
    <row r="57" spans="1:14" ht="14.25" customHeight="1" x14ac:dyDescent="0.25">
      <c r="A57" s="234"/>
      <c r="B57" s="252" t="s">
        <v>465</v>
      </c>
      <c r="C57" s="253" t="s">
        <v>457</v>
      </c>
      <c r="D57" s="254" t="s">
        <v>462</v>
      </c>
      <c r="E57" s="254" t="s">
        <v>383</v>
      </c>
      <c r="F57" s="255">
        <f>70*1.25</f>
        <v>87.5</v>
      </c>
      <c r="G57" s="256" t="s">
        <v>375</v>
      </c>
      <c r="H57" s="256" t="s">
        <v>217</v>
      </c>
      <c r="I57" s="257">
        <v>1</v>
      </c>
      <c r="J57" s="258">
        <f t="shared" si="8"/>
        <v>87.5</v>
      </c>
      <c r="K57" s="235"/>
      <c r="L57" s="267"/>
      <c r="M57" s="268"/>
      <c r="N57" s="237"/>
    </row>
    <row r="58" spans="1:14" ht="14.25" customHeight="1" x14ac:dyDescent="0.25">
      <c r="A58" s="234"/>
      <c r="B58" s="252" t="s">
        <v>470</v>
      </c>
      <c r="C58" s="253" t="s">
        <v>466</v>
      </c>
      <c r="D58" s="254" t="s">
        <v>382</v>
      </c>
      <c r="E58" s="254" t="s">
        <v>432</v>
      </c>
      <c r="F58" s="255">
        <v>6.3</v>
      </c>
      <c r="G58" s="256" t="s">
        <v>375</v>
      </c>
      <c r="H58" s="256" t="s">
        <v>217</v>
      </c>
      <c r="I58" s="257">
        <v>1</v>
      </c>
      <c r="J58" s="258">
        <f t="shared" si="8"/>
        <v>6.3</v>
      </c>
      <c r="K58" s="235"/>
      <c r="L58" s="267"/>
      <c r="M58" s="268"/>
      <c r="N58" s="237"/>
    </row>
    <row r="59" spans="1:14" ht="14.25" customHeight="1" x14ac:dyDescent="0.25">
      <c r="A59" s="234"/>
      <c r="B59" s="252" t="s">
        <v>470</v>
      </c>
      <c r="C59" s="253" t="s">
        <v>467</v>
      </c>
      <c r="D59" s="254" t="s">
        <v>382</v>
      </c>
      <c r="E59" s="254" t="s">
        <v>193</v>
      </c>
      <c r="F59" s="255">
        <f>17.3+20*1.25*0.175</f>
        <v>21.675000000000001</v>
      </c>
      <c r="G59" s="256" t="s">
        <v>375</v>
      </c>
      <c r="H59" s="256" t="s">
        <v>217</v>
      </c>
      <c r="I59" s="257">
        <v>1</v>
      </c>
      <c r="J59" s="258">
        <f t="shared" si="8"/>
        <v>21.675000000000001</v>
      </c>
      <c r="K59" s="235"/>
      <c r="L59" s="267"/>
      <c r="M59" s="268"/>
      <c r="N59" s="237"/>
    </row>
    <row r="60" spans="1:14" ht="14.25" customHeight="1" x14ac:dyDescent="0.25">
      <c r="A60" s="234"/>
      <c r="B60" s="252" t="s">
        <v>470</v>
      </c>
      <c r="C60" s="253" t="s">
        <v>468</v>
      </c>
      <c r="D60" s="254" t="s">
        <v>382</v>
      </c>
      <c r="E60" s="254" t="s">
        <v>432</v>
      </c>
      <c r="F60" s="255">
        <v>6.3</v>
      </c>
      <c r="G60" s="256" t="s">
        <v>375</v>
      </c>
      <c r="H60" s="256" t="s">
        <v>217</v>
      </c>
      <c r="I60" s="257">
        <v>1</v>
      </c>
      <c r="J60" s="258">
        <f t="shared" si="8"/>
        <v>6.3</v>
      </c>
      <c r="K60" s="235"/>
      <c r="L60" s="267"/>
      <c r="M60" s="268"/>
      <c r="N60" s="237"/>
    </row>
    <row r="61" spans="1:14" ht="14.25" customHeight="1" x14ac:dyDescent="0.25">
      <c r="A61" s="234"/>
      <c r="B61" s="252" t="s">
        <v>470</v>
      </c>
      <c r="C61" s="253" t="s">
        <v>469</v>
      </c>
      <c r="D61" s="254" t="s">
        <v>382</v>
      </c>
      <c r="E61" s="254" t="s">
        <v>193</v>
      </c>
      <c r="F61" s="255">
        <f>17.3+20*1.25*0.175</f>
        <v>21.675000000000001</v>
      </c>
      <c r="G61" s="256" t="s">
        <v>375</v>
      </c>
      <c r="H61" s="256" t="s">
        <v>217</v>
      </c>
      <c r="I61" s="257">
        <v>1</v>
      </c>
      <c r="J61" s="258">
        <f t="shared" si="8"/>
        <v>21.675000000000001</v>
      </c>
      <c r="K61" s="235"/>
      <c r="L61" s="267"/>
      <c r="M61" s="268"/>
      <c r="N61" s="237"/>
    </row>
    <row r="62" spans="1:14" ht="14.25" customHeight="1" x14ac:dyDescent="0.25">
      <c r="A62" s="234"/>
      <c r="B62" s="252" t="s">
        <v>470</v>
      </c>
      <c r="C62" s="253" t="s">
        <v>396</v>
      </c>
      <c r="D62" s="254" t="s">
        <v>404</v>
      </c>
      <c r="E62" s="254" t="s">
        <v>383</v>
      </c>
      <c r="F62" s="255">
        <v>2405.4699999999998</v>
      </c>
      <c r="G62" s="256" t="s">
        <v>376</v>
      </c>
      <c r="H62" s="256" t="s">
        <v>217</v>
      </c>
      <c r="I62" s="257">
        <v>1</v>
      </c>
      <c r="J62" s="258">
        <f t="shared" si="8"/>
        <v>2405.4699999999998</v>
      </c>
      <c r="K62" s="235"/>
      <c r="L62" s="267"/>
      <c r="M62" s="268"/>
      <c r="N62" s="237"/>
    </row>
    <row r="63" spans="1:14" ht="14.25" customHeight="1" x14ac:dyDescent="0.25">
      <c r="A63" s="234"/>
      <c r="B63" s="252" t="s">
        <v>471</v>
      </c>
      <c r="C63" s="253" t="s">
        <v>466</v>
      </c>
      <c r="D63" s="254" t="s">
        <v>382</v>
      </c>
      <c r="E63" s="254" t="s">
        <v>432</v>
      </c>
      <c r="F63" s="255">
        <v>6.3</v>
      </c>
      <c r="G63" s="256" t="s">
        <v>375</v>
      </c>
      <c r="H63" s="256" t="s">
        <v>217</v>
      </c>
      <c r="I63" s="257">
        <v>1</v>
      </c>
      <c r="J63" s="258">
        <f t="shared" si="8"/>
        <v>6.3</v>
      </c>
      <c r="K63" s="235"/>
      <c r="L63" s="267"/>
      <c r="M63" s="268"/>
      <c r="N63" s="237"/>
    </row>
    <row r="64" spans="1:14" ht="14.25" customHeight="1" x14ac:dyDescent="0.25">
      <c r="A64" s="234"/>
      <c r="B64" s="252" t="s">
        <v>471</v>
      </c>
      <c r="C64" s="253" t="s">
        <v>467</v>
      </c>
      <c r="D64" s="254" t="s">
        <v>382</v>
      </c>
      <c r="E64" s="254" t="s">
        <v>193</v>
      </c>
      <c r="F64" s="255">
        <f>17.3+20*1.25*0.175</f>
        <v>21.675000000000001</v>
      </c>
      <c r="G64" s="256" t="s">
        <v>375</v>
      </c>
      <c r="H64" s="256" t="s">
        <v>217</v>
      </c>
      <c r="I64" s="257">
        <v>1</v>
      </c>
      <c r="J64" s="258">
        <f t="shared" si="8"/>
        <v>21.675000000000001</v>
      </c>
      <c r="K64" s="235"/>
      <c r="L64" s="267"/>
      <c r="M64" s="268"/>
      <c r="N64" s="237"/>
    </row>
    <row r="65" spans="1:14" ht="14.25" customHeight="1" x14ac:dyDescent="0.25">
      <c r="A65" s="234"/>
      <c r="B65" s="252" t="s">
        <v>471</v>
      </c>
      <c r="C65" s="253" t="s">
        <v>472</v>
      </c>
      <c r="D65" s="254" t="s">
        <v>433</v>
      </c>
      <c r="E65" s="254" t="s">
        <v>383</v>
      </c>
      <c r="F65" s="255">
        <v>51.78</v>
      </c>
      <c r="G65" s="256" t="s">
        <v>375</v>
      </c>
      <c r="H65" s="256" t="s">
        <v>217</v>
      </c>
      <c r="I65" s="257">
        <v>1</v>
      </c>
      <c r="J65" s="258">
        <f t="shared" si="8"/>
        <v>51.78</v>
      </c>
      <c r="K65" s="235"/>
      <c r="L65" s="267"/>
      <c r="M65" s="268"/>
      <c r="N65" s="237"/>
    </row>
    <row r="66" spans="1:14" ht="14.25" customHeight="1" x14ac:dyDescent="0.25">
      <c r="A66" s="234"/>
      <c r="B66" s="252" t="s">
        <v>471</v>
      </c>
      <c r="C66" s="253" t="s">
        <v>473</v>
      </c>
      <c r="D66" s="254" t="s">
        <v>433</v>
      </c>
      <c r="E66" s="254" t="s">
        <v>217</v>
      </c>
      <c r="F66" s="255">
        <f>5.45*1.08</f>
        <v>5.886000000000001</v>
      </c>
      <c r="G66" s="256" t="s">
        <v>375</v>
      </c>
      <c r="H66" s="256" t="s">
        <v>217</v>
      </c>
      <c r="I66" s="257">
        <v>1</v>
      </c>
      <c r="J66" s="258">
        <f t="shared" si="8"/>
        <v>5.886000000000001</v>
      </c>
      <c r="K66" s="235"/>
      <c r="L66" s="267"/>
      <c r="M66" s="268"/>
      <c r="N66" s="237"/>
    </row>
    <row r="67" spans="1:14" ht="14.25" customHeight="1" x14ac:dyDescent="0.25">
      <c r="A67" s="234"/>
      <c r="B67" s="252" t="s">
        <v>471</v>
      </c>
      <c r="C67" s="253" t="s">
        <v>474</v>
      </c>
      <c r="D67" s="254" t="s">
        <v>433</v>
      </c>
      <c r="E67" s="254" t="s">
        <v>217</v>
      </c>
      <c r="F67" s="255">
        <v>153.47999999999999</v>
      </c>
      <c r="G67" s="256" t="s">
        <v>375</v>
      </c>
      <c r="H67" s="256" t="s">
        <v>217</v>
      </c>
      <c r="I67" s="257">
        <v>1</v>
      </c>
      <c r="J67" s="258">
        <f t="shared" si="8"/>
        <v>153.47999999999999</v>
      </c>
      <c r="K67" s="235"/>
      <c r="L67" s="267"/>
      <c r="M67" s="268"/>
      <c r="N67" s="237"/>
    </row>
    <row r="68" spans="1:14" ht="14.25" customHeight="1" x14ac:dyDescent="0.25">
      <c r="A68" s="234"/>
      <c r="B68" s="252" t="s">
        <v>471</v>
      </c>
      <c r="C68" s="253" t="s">
        <v>475</v>
      </c>
      <c r="D68" s="254" t="s">
        <v>433</v>
      </c>
      <c r="E68" s="254" t="s">
        <v>383</v>
      </c>
      <c r="F68" s="255">
        <v>31.37</v>
      </c>
      <c r="G68" s="256" t="s">
        <v>375</v>
      </c>
      <c r="H68" s="256" t="s">
        <v>217</v>
      </c>
      <c r="I68" s="257">
        <v>1</v>
      </c>
      <c r="J68" s="258">
        <f t="shared" si="8"/>
        <v>31.37</v>
      </c>
      <c r="K68" s="235"/>
      <c r="L68" s="267"/>
      <c r="M68" s="268"/>
      <c r="N68" s="237"/>
    </row>
    <row r="69" spans="1:14" ht="14.25" customHeight="1" x14ac:dyDescent="0.25">
      <c r="A69" s="234"/>
      <c r="B69" s="252" t="s">
        <v>471</v>
      </c>
      <c r="C69" s="253" t="s">
        <v>476</v>
      </c>
      <c r="D69" s="254" t="s">
        <v>433</v>
      </c>
      <c r="E69" s="254" t="s">
        <v>383</v>
      </c>
      <c r="F69" s="255">
        <v>56.71</v>
      </c>
      <c r="G69" s="256" t="s">
        <v>375</v>
      </c>
      <c r="H69" s="256" t="s">
        <v>217</v>
      </c>
      <c r="I69" s="257">
        <v>1</v>
      </c>
      <c r="J69" s="258">
        <f t="shared" si="8"/>
        <v>56.71</v>
      </c>
      <c r="K69" s="235"/>
      <c r="L69" s="267"/>
      <c r="M69" s="268"/>
      <c r="N69" s="237"/>
    </row>
    <row r="70" spans="1:14" ht="14.25" customHeight="1" x14ac:dyDescent="0.25">
      <c r="A70" s="234"/>
      <c r="B70" s="252" t="s">
        <v>471</v>
      </c>
      <c r="C70" s="253" t="s">
        <v>477</v>
      </c>
      <c r="D70" s="254" t="s">
        <v>433</v>
      </c>
      <c r="E70" s="254" t="s">
        <v>383</v>
      </c>
      <c r="F70" s="255">
        <v>49.93</v>
      </c>
      <c r="G70" s="256" t="s">
        <v>375</v>
      </c>
      <c r="H70" s="256" t="s">
        <v>217</v>
      </c>
      <c r="I70" s="257">
        <v>1</v>
      </c>
      <c r="J70" s="258">
        <f t="shared" si="8"/>
        <v>49.93</v>
      </c>
      <c r="K70" s="235"/>
      <c r="L70" s="267"/>
      <c r="M70" s="268"/>
      <c r="N70" s="237"/>
    </row>
    <row r="71" spans="1:14" ht="14.25" customHeight="1" x14ac:dyDescent="0.25">
      <c r="A71" s="234"/>
      <c r="B71" s="252" t="s">
        <v>471</v>
      </c>
      <c r="C71" s="253" t="s">
        <v>478</v>
      </c>
      <c r="D71" s="254" t="s">
        <v>433</v>
      </c>
      <c r="E71" s="254" t="s">
        <v>217</v>
      </c>
      <c r="F71" s="255">
        <f>6.28*1.08</f>
        <v>6.7824000000000009</v>
      </c>
      <c r="G71" s="256" t="s">
        <v>375</v>
      </c>
      <c r="H71" s="256" t="s">
        <v>217</v>
      </c>
      <c r="I71" s="257">
        <v>1</v>
      </c>
      <c r="J71" s="258">
        <f t="shared" ref="J71:J74" si="9">F71*I71</f>
        <v>6.7824000000000009</v>
      </c>
      <c r="K71" s="235"/>
      <c r="L71" s="267"/>
      <c r="M71" s="268"/>
      <c r="N71" s="237"/>
    </row>
    <row r="72" spans="1:14" ht="14.25" customHeight="1" x14ac:dyDescent="0.25">
      <c r="A72" s="234"/>
      <c r="B72" s="252" t="s">
        <v>471</v>
      </c>
      <c r="C72" s="253" t="s">
        <v>479</v>
      </c>
      <c r="D72" s="254" t="s">
        <v>433</v>
      </c>
      <c r="E72" s="254" t="s">
        <v>217</v>
      </c>
      <c r="F72" s="255">
        <v>150.47</v>
      </c>
      <c r="G72" s="256" t="s">
        <v>375</v>
      </c>
      <c r="H72" s="256" t="s">
        <v>217</v>
      </c>
      <c r="I72" s="257">
        <v>1</v>
      </c>
      <c r="J72" s="258">
        <f t="shared" si="9"/>
        <v>150.47</v>
      </c>
      <c r="K72" s="235"/>
      <c r="L72" s="267"/>
      <c r="M72" s="268"/>
      <c r="N72" s="237"/>
    </row>
    <row r="73" spans="1:14" ht="14.25" customHeight="1" x14ac:dyDescent="0.25">
      <c r="A73" s="234"/>
      <c r="B73" s="252" t="s">
        <v>471</v>
      </c>
      <c r="C73" s="253" t="s">
        <v>434</v>
      </c>
      <c r="D73" s="254" t="s">
        <v>435</v>
      </c>
      <c r="E73" s="254" t="s">
        <v>383</v>
      </c>
      <c r="F73" s="255">
        <v>106.6</v>
      </c>
      <c r="G73" s="256" t="s">
        <v>375</v>
      </c>
      <c r="H73" s="256" t="s">
        <v>217</v>
      </c>
      <c r="I73" s="257">
        <v>1</v>
      </c>
      <c r="J73" s="258">
        <f t="shared" si="9"/>
        <v>106.6</v>
      </c>
      <c r="K73" s="235"/>
      <c r="L73" s="267"/>
      <c r="M73" s="268"/>
      <c r="N73" s="237"/>
    </row>
    <row r="74" spans="1:14" ht="14.25" customHeight="1" x14ac:dyDescent="0.25">
      <c r="A74" s="234"/>
      <c r="B74" s="252" t="s">
        <v>471</v>
      </c>
      <c r="C74" s="253" t="s">
        <v>480</v>
      </c>
      <c r="D74" s="254" t="s">
        <v>433</v>
      </c>
      <c r="E74" s="254" t="s">
        <v>383</v>
      </c>
      <c r="F74" s="255">
        <v>3.27</v>
      </c>
      <c r="G74" s="256" t="s">
        <v>375</v>
      </c>
      <c r="H74" s="256" t="s">
        <v>217</v>
      </c>
      <c r="I74" s="257">
        <v>1</v>
      </c>
      <c r="J74" s="258">
        <f t="shared" si="9"/>
        <v>3.27</v>
      </c>
      <c r="K74" s="235"/>
      <c r="L74" s="267"/>
      <c r="M74" s="268"/>
      <c r="N74" s="237"/>
    </row>
    <row r="75" spans="1:14" ht="14.25" customHeight="1" x14ac:dyDescent="0.25">
      <c r="A75" s="234"/>
      <c r="B75" s="252" t="s">
        <v>471</v>
      </c>
      <c r="C75" s="253" t="s">
        <v>481</v>
      </c>
      <c r="D75" s="254" t="s">
        <v>433</v>
      </c>
      <c r="E75" s="254" t="s">
        <v>383</v>
      </c>
      <c r="F75" s="255">
        <f>6.64+3.87+1.85+2.36</f>
        <v>14.719999999999999</v>
      </c>
      <c r="G75" s="256" t="s">
        <v>375</v>
      </c>
      <c r="H75" s="256" t="s">
        <v>217</v>
      </c>
      <c r="I75" s="257">
        <v>1</v>
      </c>
      <c r="J75" s="258">
        <f t="shared" ref="J75:J138" si="10">F75*I75</f>
        <v>14.719999999999999</v>
      </c>
      <c r="K75" s="235"/>
      <c r="L75" s="267"/>
      <c r="M75" s="268"/>
      <c r="N75" s="237"/>
    </row>
    <row r="76" spans="1:14" ht="14.25" customHeight="1" x14ac:dyDescent="0.25">
      <c r="A76" s="234"/>
      <c r="B76" s="252" t="s">
        <v>471</v>
      </c>
      <c r="C76" s="253" t="s">
        <v>483</v>
      </c>
      <c r="D76" s="254" t="s">
        <v>433</v>
      </c>
      <c r="E76" s="254" t="s">
        <v>217</v>
      </c>
      <c r="F76" s="255">
        <f>5.45*1.08</f>
        <v>5.886000000000001</v>
      </c>
      <c r="G76" s="256" t="s">
        <v>375</v>
      </c>
      <c r="H76" s="256" t="s">
        <v>217</v>
      </c>
      <c r="I76" s="257">
        <v>1</v>
      </c>
      <c r="J76" s="258">
        <f t="shared" si="10"/>
        <v>5.886000000000001</v>
      </c>
      <c r="K76" s="235"/>
      <c r="L76" s="267"/>
      <c r="M76" s="268"/>
      <c r="N76" s="237"/>
    </row>
    <row r="77" spans="1:14" ht="14.25" customHeight="1" x14ac:dyDescent="0.25">
      <c r="A77" s="234"/>
      <c r="B77" s="252" t="s">
        <v>471</v>
      </c>
      <c r="C77" s="253" t="s">
        <v>482</v>
      </c>
      <c r="D77" s="254" t="s">
        <v>433</v>
      </c>
      <c r="E77" s="254" t="s">
        <v>217</v>
      </c>
      <c r="F77" s="255">
        <v>131.1</v>
      </c>
      <c r="G77" s="256" t="s">
        <v>375</v>
      </c>
      <c r="H77" s="256" t="s">
        <v>217</v>
      </c>
      <c r="I77" s="257">
        <v>1</v>
      </c>
      <c r="J77" s="258">
        <f t="shared" si="10"/>
        <v>131.1</v>
      </c>
      <c r="K77" s="235"/>
      <c r="L77" s="267"/>
      <c r="M77" s="268"/>
      <c r="N77" s="237"/>
    </row>
    <row r="78" spans="1:14" ht="14.25" customHeight="1" x14ac:dyDescent="0.25">
      <c r="A78" s="234"/>
      <c r="B78" s="252" t="s">
        <v>471</v>
      </c>
      <c r="C78" s="253" t="s">
        <v>484</v>
      </c>
      <c r="D78" s="254" t="s">
        <v>433</v>
      </c>
      <c r="E78" s="254" t="s">
        <v>383</v>
      </c>
      <c r="F78" s="255">
        <v>147.01</v>
      </c>
      <c r="G78" s="256" t="s">
        <v>375</v>
      </c>
      <c r="H78" s="256" t="s">
        <v>217</v>
      </c>
      <c r="I78" s="257">
        <v>1</v>
      </c>
      <c r="J78" s="258">
        <f t="shared" si="10"/>
        <v>147.01</v>
      </c>
      <c r="K78" s="235"/>
      <c r="L78" s="267"/>
      <c r="M78" s="268"/>
      <c r="N78" s="237"/>
    </row>
    <row r="79" spans="1:14" ht="14.25" customHeight="1" x14ac:dyDescent="0.25">
      <c r="A79" s="234"/>
      <c r="B79" s="252" t="s">
        <v>471</v>
      </c>
      <c r="C79" s="253" t="s">
        <v>485</v>
      </c>
      <c r="D79" s="254" t="s">
        <v>496</v>
      </c>
      <c r="E79" s="254" t="s">
        <v>217</v>
      </c>
      <c r="F79" s="255">
        <f>44.32+27.55*1.3</f>
        <v>80.135000000000005</v>
      </c>
      <c r="G79" s="256" t="s">
        <v>375</v>
      </c>
      <c r="H79" s="256" t="s">
        <v>217</v>
      </c>
      <c r="I79" s="257">
        <v>1</v>
      </c>
      <c r="J79" s="258">
        <f t="shared" si="10"/>
        <v>80.135000000000005</v>
      </c>
      <c r="K79" s="235"/>
      <c r="L79" s="267"/>
      <c r="M79" s="268"/>
      <c r="N79" s="237"/>
    </row>
    <row r="80" spans="1:14" ht="14.25" customHeight="1" x14ac:dyDescent="0.25">
      <c r="A80" s="234"/>
      <c r="B80" s="252" t="s">
        <v>471</v>
      </c>
      <c r="C80" s="253" t="s">
        <v>495</v>
      </c>
      <c r="D80" s="254" t="s">
        <v>496</v>
      </c>
      <c r="E80" s="254" t="s">
        <v>217</v>
      </c>
      <c r="F80" s="255">
        <f>27.45+22.93*0.5</f>
        <v>38.914999999999999</v>
      </c>
      <c r="G80" s="256" t="s">
        <v>375</v>
      </c>
      <c r="H80" s="256" t="s">
        <v>217</v>
      </c>
      <c r="I80" s="257">
        <v>1</v>
      </c>
      <c r="J80" s="258">
        <f t="shared" si="10"/>
        <v>38.914999999999999</v>
      </c>
      <c r="K80" s="235"/>
      <c r="L80" s="267"/>
      <c r="M80" s="268"/>
      <c r="N80" s="237"/>
    </row>
    <row r="81" spans="1:14" ht="14.25" customHeight="1" x14ac:dyDescent="0.25">
      <c r="A81" s="234"/>
      <c r="B81" s="252" t="s">
        <v>471</v>
      </c>
      <c r="C81" s="253" t="s">
        <v>486</v>
      </c>
      <c r="D81" s="254" t="s">
        <v>433</v>
      </c>
      <c r="E81" s="254" t="s">
        <v>217</v>
      </c>
      <c r="F81" s="255">
        <v>216.5</v>
      </c>
      <c r="G81" s="256" t="s">
        <v>375</v>
      </c>
      <c r="H81" s="256" t="s">
        <v>217</v>
      </c>
      <c r="I81" s="257">
        <v>1</v>
      </c>
      <c r="J81" s="258">
        <f t="shared" si="10"/>
        <v>216.5</v>
      </c>
      <c r="K81" s="235"/>
      <c r="L81" s="267"/>
      <c r="M81" s="268"/>
      <c r="N81" s="237"/>
    </row>
    <row r="82" spans="1:14" ht="14.25" customHeight="1" x14ac:dyDescent="0.25">
      <c r="A82" s="234"/>
      <c r="B82" s="252" t="s">
        <v>471</v>
      </c>
      <c r="C82" s="253" t="s">
        <v>487</v>
      </c>
      <c r="D82" s="254" t="s">
        <v>496</v>
      </c>
      <c r="E82" s="254" t="s">
        <v>217</v>
      </c>
      <c r="F82" s="255">
        <f>20.16+18.87*0.8</f>
        <v>35.256</v>
      </c>
      <c r="G82" s="256" t="s">
        <v>375</v>
      </c>
      <c r="H82" s="256" t="s">
        <v>217</v>
      </c>
      <c r="I82" s="257">
        <v>1</v>
      </c>
      <c r="J82" s="258">
        <f t="shared" si="10"/>
        <v>35.256</v>
      </c>
      <c r="K82" s="235"/>
      <c r="L82" s="267"/>
      <c r="M82" s="268"/>
      <c r="N82" s="237"/>
    </row>
    <row r="83" spans="1:14" ht="14.25" customHeight="1" x14ac:dyDescent="0.25">
      <c r="A83" s="234"/>
      <c r="B83" s="252" t="s">
        <v>471</v>
      </c>
      <c r="C83" s="253" t="s">
        <v>488</v>
      </c>
      <c r="D83" s="254" t="s">
        <v>496</v>
      </c>
      <c r="E83" s="254" t="s">
        <v>217</v>
      </c>
      <c r="F83" s="255">
        <f>59.28+38.8*1.5</f>
        <v>117.47999999999999</v>
      </c>
      <c r="G83" s="256" t="s">
        <v>375</v>
      </c>
      <c r="H83" s="256" t="s">
        <v>217</v>
      </c>
      <c r="I83" s="257">
        <v>1</v>
      </c>
      <c r="J83" s="258">
        <f t="shared" si="10"/>
        <v>117.47999999999999</v>
      </c>
      <c r="K83" s="235"/>
      <c r="L83" s="267"/>
      <c r="M83" s="268"/>
      <c r="N83" s="237"/>
    </row>
    <row r="84" spans="1:14" ht="14.25" customHeight="1" x14ac:dyDescent="0.25">
      <c r="A84" s="234"/>
      <c r="B84" s="252" t="s">
        <v>471</v>
      </c>
      <c r="C84" s="253" t="s">
        <v>489</v>
      </c>
      <c r="D84" s="254" t="s">
        <v>496</v>
      </c>
      <c r="E84" s="254" t="s">
        <v>217</v>
      </c>
      <c r="F84" s="255">
        <f>13.37+14.64*0.3</f>
        <v>17.762</v>
      </c>
      <c r="G84" s="256" t="s">
        <v>375</v>
      </c>
      <c r="H84" s="256" t="s">
        <v>217</v>
      </c>
      <c r="I84" s="257">
        <v>1</v>
      </c>
      <c r="J84" s="258">
        <f t="shared" si="10"/>
        <v>17.762</v>
      </c>
      <c r="K84" s="235"/>
      <c r="L84" s="267"/>
      <c r="M84" s="268"/>
      <c r="N84" s="237"/>
    </row>
    <row r="85" spans="1:14" ht="14.25" customHeight="1" x14ac:dyDescent="0.25">
      <c r="A85" s="234"/>
      <c r="B85" s="252" t="s">
        <v>471</v>
      </c>
      <c r="C85" s="253" t="s">
        <v>490</v>
      </c>
      <c r="D85" s="254" t="s">
        <v>433</v>
      </c>
      <c r="E85" s="254" t="s">
        <v>383</v>
      </c>
      <c r="F85" s="255">
        <f>9.6+2.47+2.47</f>
        <v>14.540000000000001</v>
      </c>
      <c r="G85" s="256" t="s">
        <v>375</v>
      </c>
      <c r="H85" s="256" t="s">
        <v>217</v>
      </c>
      <c r="I85" s="257">
        <v>1</v>
      </c>
      <c r="J85" s="258">
        <f t="shared" si="10"/>
        <v>14.540000000000001</v>
      </c>
      <c r="K85" s="235"/>
      <c r="L85" s="267"/>
      <c r="M85" s="268"/>
      <c r="N85" s="237"/>
    </row>
    <row r="86" spans="1:14" ht="14.25" customHeight="1" x14ac:dyDescent="0.25">
      <c r="A86" s="234"/>
      <c r="B86" s="252" t="s">
        <v>471</v>
      </c>
      <c r="C86" s="253" t="s">
        <v>491</v>
      </c>
      <c r="D86" s="254" t="s">
        <v>436</v>
      </c>
      <c r="E86" s="254" t="s">
        <v>436</v>
      </c>
      <c r="F86" s="255">
        <f>7.32</f>
        <v>7.32</v>
      </c>
      <c r="G86" s="256" t="s">
        <v>375</v>
      </c>
      <c r="H86" s="256" t="s">
        <v>217</v>
      </c>
      <c r="I86" s="257">
        <v>1</v>
      </c>
      <c r="J86" s="258">
        <f t="shared" si="10"/>
        <v>7.32</v>
      </c>
      <c r="K86" s="235"/>
      <c r="L86" s="267"/>
      <c r="M86" s="268"/>
      <c r="N86" s="237"/>
    </row>
    <row r="87" spans="1:14" ht="14.25" customHeight="1" x14ac:dyDescent="0.25">
      <c r="A87" s="234"/>
      <c r="B87" s="252" t="s">
        <v>471</v>
      </c>
      <c r="C87" s="253" t="s">
        <v>492</v>
      </c>
      <c r="D87" s="254" t="s">
        <v>436</v>
      </c>
      <c r="E87" s="254" t="s">
        <v>436</v>
      </c>
      <c r="F87" s="255">
        <v>7.32</v>
      </c>
      <c r="G87" s="256" t="s">
        <v>375</v>
      </c>
      <c r="H87" s="256" t="s">
        <v>217</v>
      </c>
      <c r="I87" s="257">
        <v>1</v>
      </c>
      <c r="J87" s="258">
        <f t="shared" si="10"/>
        <v>7.32</v>
      </c>
      <c r="K87" s="235"/>
      <c r="L87" s="267"/>
      <c r="M87" s="268"/>
      <c r="N87" s="237"/>
    </row>
    <row r="88" spans="1:14" ht="14.25" customHeight="1" x14ac:dyDescent="0.25">
      <c r="A88" s="234"/>
      <c r="B88" s="252" t="s">
        <v>471</v>
      </c>
      <c r="C88" s="253" t="s">
        <v>493</v>
      </c>
      <c r="D88" s="254" t="s">
        <v>433</v>
      </c>
      <c r="E88" s="254" t="s">
        <v>383</v>
      </c>
      <c r="F88" s="255">
        <f>9.89+4.63+3.71+9.89</f>
        <v>28.12</v>
      </c>
      <c r="G88" s="256" t="s">
        <v>375</v>
      </c>
      <c r="H88" s="256" t="s">
        <v>217</v>
      </c>
      <c r="I88" s="257">
        <v>1</v>
      </c>
      <c r="J88" s="258">
        <f t="shared" si="10"/>
        <v>28.12</v>
      </c>
      <c r="K88" s="235"/>
      <c r="L88" s="267"/>
      <c r="M88" s="268"/>
      <c r="N88" s="237"/>
    </row>
    <row r="89" spans="1:14" ht="14.25" customHeight="1" x14ac:dyDescent="0.25">
      <c r="A89" s="234"/>
      <c r="B89" s="252" t="s">
        <v>471</v>
      </c>
      <c r="C89" s="253" t="s">
        <v>494</v>
      </c>
      <c r="D89" s="254" t="s">
        <v>341</v>
      </c>
      <c r="E89" s="254" t="s">
        <v>383</v>
      </c>
      <c r="F89" s="255">
        <f>79.52</f>
        <v>79.52</v>
      </c>
      <c r="G89" s="256" t="s">
        <v>375</v>
      </c>
      <c r="H89" s="256" t="s">
        <v>217</v>
      </c>
      <c r="I89" s="257">
        <v>1</v>
      </c>
      <c r="J89" s="258">
        <f t="shared" si="10"/>
        <v>79.52</v>
      </c>
      <c r="K89" s="235"/>
      <c r="L89" s="267"/>
      <c r="M89" s="268"/>
      <c r="N89" s="237"/>
    </row>
    <row r="90" spans="1:14" ht="14.25" customHeight="1" x14ac:dyDescent="0.25">
      <c r="A90" s="234"/>
      <c r="B90" s="252" t="s">
        <v>471</v>
      </c>
      <c r="C90" s="253" t="s">
        <v>468</v>
      </c>
      <c r="D90" s="254" t="s">
        <v>382</v>
      </c>
      <c r="E90" s="254" t="s">
        <v>432</v>
      </c>
      <c r="F90" s="255">
        <v>6.3</v>
      </c>
      <c r="G90" s="256" t="s">
        <v>375</v>
      </c>
      <c r="H90" s="256" t="s">
        <v>217</v>
      </c>
      <c r="I90" s="257">
        <v>1</v>
      </c>
      <c r="J90" s="258">
        <f t="shared" si="10"/>
        <v>6.3</v>
      </c>
      <c r="K90" s="235"/>
      <c r="L90" s="267"/>
      <c r="M90" s="268"/>
      <c r="N90" s="237"/>
    </row>
    <row r="91" spans="1:14" ht="14.25" customHeight="1" x14ac:dyDescent="0.25">
      <c r="A91" s="234"/>
      <c r="B91" s="252" t="s">
        <v>471</v>
      </c>
      <c r="C91" s="253" t="s">
        <v>469</v>
      </c>
      <c r="D91" s="254" t="s">
        <v>382</v>
      </c>
      <c r="E91" s="254" t="s">
        <v>193</v>
      </c>
      <c r="F91" s="255">
        <f>17.3+20*1.25*0.175</f>
        <v>21.675000000000001</v>
      </c>
      <c r="G91" s="256" t="s">
        <v>375</v>
      </c>
      <c r="H91" s="256" t="s">
        <v>217</v>
      </c>
      <c r="I91" s="257">
        <v>1</v>
      </c>
      <c r="J91" s="258">
        <f t="shared" si="10"/>
        <v>21.675000000000001</v>
      </c>
      <c r="K91" s="235"/>
      <c r="L91" s="267"/>
      <c r="M91" s="268"/>
      <c r="N91" s="237"/>
    </row>
    <row r="92" spans="1:14" ht="14.25" customHeight="1" x14ac:dyDescent="0.25">
      <c r="A92" s="234"/>
      <c r="B92" s="252" t="s">
        <v>471</v>
      </c>
      <c r="C92" s="253" t="s">
        <v>497</v>
      </c>
      <c r="D92" s="254" t="s">
        <v>433</v>
      </c>
      <c r="E92" s="254" t="s">
        <v>383</v>
      </c>
      <c r="F92" s="255">
        <v>52.51</v>
      </c>
      <c r="G92" s="256" t="s">
        <v>375</v>
      </c>
      <c r="H92" s="256" t="s">
        <v>217</v>
      </c>
      <c r="I92" s="257">
        <v>1</v>
      </c>
      <c r="J92" s="258">
        <f t="shared" si="10"/>
        <v>52.51</v>
      </c>
      <c r="K92" s="235"/>
      <c r="L92" s="267"/>
      <c r="M92" s="268"/>
      <c r="N92" s="237"/>
    </row>
    <row r="93" spans="1:14" ht="14.25" customHeight="1" x14ac:dyDescent="0.25">
      <c r="A93" s="234"/>
      <c r="B93" s="252" t="s">
        <v>471</v>
      </c>
      <c r="C93" s="253" t="s">
        <v>498</v>
      </c>
      <c r="D93" s="254" t="s">
        <v>433</v>
      </c>
      <c r="E93" s="254" t="s">
        <v>217</v>
      </c>
      <c r="F93" s="255">
        <f>5.45*1.08*2</f>
        <v>11.772000000000002</v>
      </c>
      <c r="G93" s="256" t="s">
        <v>375</v>
      </c>
      <c r="H93" s="256" t="s">
        <v>217</v>
      </c>
      <c r="I93" s="257">
        <v>1</v>
      </c>
      <c r="J93" s="258">
        <f t="shared" si="10"/>
        <v>11.772000000000002</v>
      </c>
      <c r="K93" s="235"/>
      <c r="L93" s="267"/>
      <c r="M93" s="268"/>
      <c r="N93" s="237"/>
    </row>
    <row r="94" spans="1:14" ht="14.25" customHeight="1" x14ac:dyDescent="0.25">
      <c r="A94" s="234"/>
      <c r="B94" s="252" t="s">
        <v>471</v>
      </c>
      <c r="C94" s="253" t="s">
        <v>499</v>
      </c>
      <c r="D94" s="254" t="s">
        <v>341</v>
      </c>
      <c r="E94" s="254" t="s">
        <v>217</v>
      </c>
      <c r="F94" s="255">
        <f>310.97</f>
        <v>310.97000000000003</v>
      </c>
      <c r="G94" s="256" t="s">
        <v>375</v>
      </c>
      <c r="H94" s="256" t="s">
        <v>217</v>
      </c>
      <c r="I94" s="257">
        <v>1</v>
      </c>
      <c r="J94" s="258">
        <f t="shared" si="10"/>
        <v>310.97000000000003</v>
      </c>
      <c r="K94" s="235"/>
      <c r="L94" s="267"/>
      <c r="M94" s="268"/>
      <c r="N94" s="237"/>
    </row>
    <row r="95" spans="1:14" ht="14.25" customHeight="1" x14ac:dyDescent="0.25">
      <c r="A95" s="234"/>
      <c r="B95" s="252" t="s">
        <v>471</v>
      </c>
      <c r="C95" s="253" t="s">
        <v>500</v>
      </c>
      <c r="D95" s="254" t="s">
        <v>435</v>
      </c>
      <c r="E95" s="254" t="s">
        <v>383</v>
      </c>
      <c r="F95" s="255">
        <v>34.04</v>
      </c>
      <c r="G95" s="256" t="s">
        <v>375</v>
      </c>
      <c r="H95" s="256" t="s">
        <v>217</v>
      </c>
      <c r="I95" s="257">
        <v>1</v>
      </c>
      <c r="J95" s="258">
        <f t="shared" si="10"/>
        <v>34.04</v>
      </c>
      <c r="K95" s="235"/>
      <c r="L95" s="267"/>
      <c r="M95" s="268"/>
      <c r="N95" s="237"/>
    </row>
    <row r="96" spans="1:14" ht="14.25" customHeight="1" x14ac:dyDescent="0.25">
      <c r="A96" s="234"/>
      <c r="B96" s="252" t="s">
        <v>471</v>
      </c>
      <c r="C96" s="253" t="s">
        <v>477</v>
      </c>
      <c r="D96" s="254" t="s">
        <v>433</v>
      </c>
      <c r="E96" s="254" t="s">
        <v>383</v>
      </c>
      <c r="F96" s="255">
        <v>115.49</v>
      </c>
      <c r="G96" s="256" t="s">
        <v>375</v>
      </c>
      <c r="H96" s="256" t="s">
        <v>217</v>
      </c>
      <c r="I96" s="257">
        <v>1</v>
      </c>
      <c r="J96" s="258">
        <f t="shared" si="10"/>
        <v>115.49</v>
      </c>
      <c r="K96" s="235"/>
      <c r="L96" s="267"/>
      <c r="M96" s="268"/>
      <c r="N96" s="237"/>
    </row>
    <row r="97" spans="1:14" ht="14.25" customHeight="1" x14ac:dyDescent="0.25">
      <c r="A97" s="234"/>
      <c r="B97" s="252" t="s">
        <v>471</v>
      </c>
      <c r="C97" s="253" t="s">
        <v>501</v>
      </c>
      <c r="D97" s="254" t="s">
        <v>433</v>
      </c>
      <c r="E97" s="254" t="s">
        <v>217</v>
      </c>
      <c r="F97" s="255">
        <f>6.05*1.08</f>
        <v>6.5339999999999998</v>
      </c>
      <c r="G97" s="256" t="s">
        <v>375</v>
      </c>
      <c r="H97" s="256" t="s">
        <v>217</v>
      </c>
      <c r="I97" s="257">
        <v>1</v>
      </c>
      <c r="J97" s="258">
        <f t="shared" si="10"/>
        <v>6.5339999999999998</v>
      </c>
      <c r="K97" s="235"/>
      <c r="L97" s="267"/>
      <c r="M97" s="268"/>
      <c r="N97" s="237"/>
    </row>
    <row r="98" spans="1:14" ht="14.25" customHeight="1" x14ac:dyDescent="0.25">
      <c r="A98" s="234"/>
      <c r="B98" s="252" t="s">
        <v>471</v>
      </c>
      <c r="C98" s="253" t="s">
        <v>502</v>
      </c>
      <c r="D98" s="254" t="s">
        <v>433</v>
      </c>
      <c r="E98" s="254" t="s">
        <v>217</v>
      </c>
      <c r="F98" s="255">
        <v>181.61</v>
      </c>
      <c r="G98" s="256" t="s">
        <v>375</v>
      </c>
      <c r="H98" s="256" t="s">
        <v>217</v>
      </c>
      <c r="I98" s="257">
        <v>1</v>
      </c>
      <c r="J98" s="258">
        <f t="shared" si="10"/>
        <v>181.61</v>
      </c>
      <c r="K98" s="235"/>
      <c r="L98" s="267"/>
      <c r="M98" s="268"/>
      <c r="N98" s="237"/>
    </row>
    <row r="99" spans="1:14" ht="14.25" customHeight="1" x14ac:dyDescent="0.25">
      <c r="A99" s="234"/>
      <c r="B99" s="252" t="s">
        <v>471</v>
      </c>
      <c r="C99" s="253" t="s">
        <v>503</v>
      </c>
      <c r="D99" s="254" t="s">
        <v>433</v>
      </c>
      <c r="E99" s="254" t="s">
        <v>383</v>
      </c>
      <c r="F99" s="255">
        <v>28.11</v>
      </c>
      <c r="G99" s="256" t="s">
        <v>375</v>
      </c>
      <c r="H99" s="256" t="s">
        <v>217</v>
      </c>
      <c r="I99" s="257">
        <v>1</v>
      </c>
      <c r="J99" s="258">
        <f t="shared" si="10"/>
        <v>28.11</v>
      </c>
      <c r="K99" s="235"/>
      <c r="L99" s="267"/>
      <c r="M99" s="268"/>
      <c r="N99" s="237"/>
    </row>
    <row r="100" spans="1:14" ht="14.25" customHeight="1" x14ac:dyDescent="0.25">
      <c r="A100" s="234"/>
      <c r="B100" s="252" t="s">
        <v>471</v>
      </c>
      <c r="C100" s="253" t="s">
        <v>504</v>
      </c>
      <c r="D100" s="254" t="s">
        <v>433</v>
      </c>
      <c r="E100" s="254" t="s">
        <v>383</v>
      </c>
      <c r="F100" s="255">
        <v>16.3</v>
      </c>
      <c r="G100" s="256" t="s">
        <v>375</v>
      </c>
      <c r="H100" s="256" t="s">
        <v>217</v>
      </c>
      <c r="I100" s="257">
        <v>1</v>
      </c>
      <c r="J100" s="258">
        <f t="shared" si="10"/>
        <v>16.3</v>
      </c>
      <c r="K100" s="235"/>
      <c r="L100" s="267"/>
      <c r="M100" s="268"/>
      <c r="N100" s="237"/>
    </row>
    <row r="101" spans="1:14" ht="14.25" customHeight="1" x14ac:dyDescent="0.25">
      <c r="A101" s="234"/>
      <c r="B101" s="252" t="s">
        <v>471</v>
      </c>
      <c r="C101" s="253" t="s">
        <v>505</v>
      </c>
      <c r="D101" s="254" t="s">
        <v>433</v>
      </c>
      <c r="E101" s="254" t="s">
        <v>383</v>
      </c>
      <c r="F101" s="255">
        <v>24.12</v>
      </c>
      <c r="G101" s="256" t="s">
        <v>375</v>
      </c>
      <c r="H101" s="256" t="s">
        <v>217</v>
      </c>
      <c r="I101" s="257">
        <v>1</v>
      </c>
      <c r="J101" s="258">
        <f t="shared" si="10"/>
        <v>24.12</v>
      </c>
      <c r="K101" s="235"/>
      <c r="L101" s="267"/>
      <c r="M101" s="268"/>
      <c r="N101" s="237"/>
    </row>
    <row r="102" spans="1:14" ht="14.25" customHeight="1" x14ac:dyDescent="0.25">
      <c r="A102" s="234"/>
      <c r="B102" s="252" t="s">
        <v>471</v>
      </c>
      <c r="C102" s="253" t="s">
        <v>430</v>
      </c>
      <c r="D102" s="254" t="s">
        <v>433</v>
      </c>
      <c r="E102" s="254" t="s">
        <v>383</v>
      </c>
      <c r="F102" s="255">
        <v>12.6</v>
      </c>
      <c r="G102" s="256" t="s">
        <v>375</v>
      </c>
      <c r="H102" s="256" t="s">
        <v>217</v>
      </c>
      <c r="I102" s="257">
        <v>1</v>
      </c>
      <c r="J102" s="258">
        <f t="shared" si="10"/>
        <v>12.6</v>
      </c>
      <c r="K102" s="235"/>
      <c r="L102" s="267"/>
      <c r="M102" s="268"/>
      <c r="N102" s="237"/>
    </row>
    <row r="103" spans="1:14" ht="14.25" customHeight="1" x14ac:dyDescent="0.25">
      <c r="A103" s="234"/>
      <c r="B103" s="252" t="s">
        <v>471</v>
      </c>
      <c r="C103" s="253" t="s">
        <v>506</v>
      </c>
      <c r="D103" s="254" t="s">
        <v>433</v>
      </c>
      <c r="E103" s="254" t="s">
        <v>383</v>
      </c>
      <c r="F103" s="255">
        <f>2.87+1.1*2+6.97*2</f>
        <v>19.009999999999998</v>
      </c>
      <c r="G103" s="256" t="s">
        <v>375</v>
      </c>
      <c r="H103" s="256" t="s">
        <v>217</v>
      </c>
      <c r="I103" s="257">
        <v>1</v>
      </c>
      <c r="J103" s="258">
        <f t="shared" si="10"/>
        <v>19.009999999999998</v>
      </c>
      <c r="K103" s="235"/>
      <c r="L103" s="267"/>
      <c r="M103" s="268"/>
      <c r="N103" s="237"/>
    </row>
    <row r="104" spans="1:14" ht="14.25" customHeight="1" x14ac:dyDescent="0.25">
      <c r="A104" s="234"/>
      <c r="B104" s="252" t="s">
        <v>471</v>
      </c>
      <c r="C104" s="253" t="s">
        <v>480</v>
      </c>
      <c r="D104" s="254" t="s">
        <v>433</v>
      </c>
      <c r="E104" s="254" t="s">
        <v>383</v>
      </c>
      <c r="F104" s="255">
        <v>3.27</v>
      </c>
      <c r="G104" s="256" t="s">
        <v>375</v>
      </c>
      <c r="H104" s="256" t="s">
        <v>217</v>
      </c>
      <c r="I104" s="257">
        <v>1</v>
      </c>
      <c r="J104" s="258">
        <f t="shared" si="10"/>
        <v>3.27</v>
      </c>
      <c r="K104" s="235"/>
      <c r="L104" s="267"/>
      <c r="M104" s="268"/>
      <c r="N104" s="237"/>
    </row>
    <row r="105" spans="1:14" ht="14.25" customHeight="1" thickBot="1" x14ac:dyDescent="0.3">
      <c r="A105" s="234"/>
      <c r="B105" s="252" t="s">
        <v>471</v>
      </c>
      <c r="C105" s="253" t="s">
        <v>507</v>
      </c>
      <c r="D105" s="254" t="s">
        <v>433</v>
      </c>
      <c r="E105" s="254" t="s">
        <v>383</v>
      </c>
      <c r="F105" s="255">
        <f>6.32+4.32+1.74+2.36</f>
        <v>14.74</v>
      </c>
      <c r="G105" s="256" t="s">
        <v>375</v>
      </c>
      <c r="H105" s="256" t="s">
        <v>217</v>
      </c>
      <c r="I105" s="257">
        <v>1</v>
      </c>
      <c r="J105" s="258">
        <f t="shared" si="10"/>
        <v>14.74</v>
      </c>
      <c r="K105" s="235"/>
      <c r="L105" s="259"/>
      <c r="M105" s="270"/>
      <c r="N105" s="237"/>
    </row>
    <row r="106" spans="1:14" ht="14.25" customHeight="1" x14ac:dyDescent="0.25">
      <c r="A106" s="234"/>
      <c r="B106" s="252" t="s">
        <v>508</v>
      </c>
      <c r="C106" s="253" t="s">
        <v>510</v>
      </c>
      <c r="D106" s="254" t="s">
        <v>217</v>
      </c>
      <c r="E106" s="254" t="s">
        <v>217</v>
      </c>
      <c r="F106" s="255">
        <v>337.33</v>
      </c>
      <c r="G106" s="256" t="s">
        <v>376</v>
      </c>
      <c r="H106" s="256" t="s">
        <v>217</v>
      </c>
      <c r="I106" s="257">
        <v>1</v>
      </c>
      <c r="J106" s="258">
        <f t="shared" si="10"/>
        <v>337.33</v>
      </c>
      <c r="K106" s="235"/>
      <c r="L106" s="282"/>
      <c r="M106" s="271"/>
      <c r="N106" s="237"/>
    </row>
    <row r="107" spans="1:14" ht="14.25" customHeight="1" x14ac:dyDescent="0.25">
      <c r="A107" s="234"/>
      <c r="B107" s="252" t="s">
        <v>509</v>
      </c>
      <c r="C107" s="253" t="s">
        <v>466</v>
      </c>
      <c r="D107" s="254" t="s">
        <v>382</v>
      </c>
      <c r="E107" s="254" t="s">
        <v>432</v>
      </c>
      <c r="F107" s="255">
        <v>6.3</v>
      </c>
      <c r="G107" s="256" t="s">
        <v>375</v>
      </c>
      <c r="H107" s="256" t="s">
        <v>217</v>
      </c>
      <c r="I107" s="257">
        <v>1</v>
      </c>
      <c r="J107" s="258">
        <f t="shared" si="10"/>
        <v>6.3</v>
      </c>
      <c r="K107" s="235"/>
      <c r="L107" s="282"/>
      <c r="M107" s="271"/>
      <c r="N107" s="237"/>
    </row>
    <row r="108" spans="1:14" ht="14.25" customHeight="1" x14ac:dyDescent="0.25">
      <c r="A108" s="234"/>
      <c r="B108" s="252" t="s">
        <v>509</v>
      </c>
      <c r="C108" s="253" t="s">
        <v>467</v>
      </c>
      <c r="D108" s="254" t="s">
        <v>382</v>
      </c>
      <c r="E108" s="254" t="s">
        <v>193</v>
      </c>
      <c r="F108" s="255">
        <f>17.3+20*1.25*0.175</f>
        <v>21.675000000000001</v>
      </c>
      <c r="G108" s="256" t="s">
        <v>375</v>
      </c>
      <c r="H108" s="256" t="s">
        <v>217</v>
      </c>
      <c r="I108" s="257">
        <v>1</v>
      </c>
      <c r="J108" s="258">
        <f t="shared" si="10"/>
        <v>21.675000000000001</v>
      </c>
      <c r="K108" s="235"/>
      <c r="L108" s="282"/>
      <c r="M108" s="271"/>
      <c r="N108" s="237"/>
    </row>
    <row r="109" spans="1:14" ht="14.25" customHeight="1" x14ac:dyDescent="0.25">
      <c r="A109" s="234"/>
      <c r="B109" s="252" t="s">
        <v>509</v>
      </c>
      <c r="C109" s="253" t="s">
        <v>429</v>
      </c>
      <c r="D109" s="254" t="s">
        <v>382</v>
      </c>
      <c r="E109" s="254" t="s">
        <v>383</v>
      </c>
      <c r="F109" s="255">
        <v>14.59</v>
      </c>
      <c r="G109" s="256" t="s">
        <v>375</v>
      </c>
      <c r="H109" s="256" t="s">
        <v>375</v>
      </c>
      <c r="I109" s="257">
        <v>1</v>
      </c>
      <c r="J109" s="258">
        <f t="shared" si="10"/>
        <v>14.59</v>
      </c>
      <c r="K109" s="235"/>
      <c r="L109" s="282"/>
      <c r="M109" s="271"/>
      <c r="N109" s="237"/>
    </row>
    <row r="110" spans="1:14" ht="14.25" customHeight="1" x14ac:dyDescent="0.25">
      <c r="A110" s="234"/>
      <c r="B110" s="252" t="s">
        <v>509</v>
      </c>
      <c r="C110" s="253" t="s">
        <v>511</v>
      </c>
      <c r="D110" s="254" t="s">
        <v>517</v>
      </c>
      <c r="E110" s="254" t="s">
        <v>383</v>
      </c>
      <c r="F110" s="255">
        <f>29.75</f>
        <v>29.75</v>
      </c>
      <c r="G110" s="256" t="s">
        <v>375</v>
      </c>
      <c r="H110" s="256" t="s">
        <v>375</v>
      </c>
      <c r="I110" s="257">
        <v>1</v>
      </c>
      <c r="J110" s="258">
        <f t="shared" ref="J110:J117" si="11">F110*I110</f>
        <v>29.75</v>
      </c>
      <c r="K110" s="235"/>
      <c r="L110" s="282"/>
      <c r="M110" s="271"/>
      <c r="N110" s="237"/>
    </row>
    <row r="111" spans="1:14" ht="14.25" customHeight="1" x14ac:dyDescent="0.25">
      <c r="A111" s="234"/>
      <c r="B111" s="252" t="s">
        <v>509</v>
      </c>
      <c r="C111" s="253" t="s">
        <v>512</v>
      </c>
      <c r="D111" s="254" t="s">
        <v>517</v>
      </c>
      <c r="E111" s="254" t="s">
        <v>383</v>
      </c>
      <c r="F111" s="255">
        <v>10.72</v>
      </c>
      <c r="G111" s="256" t="s">
        <v>375</v>
      </c>
      <c r="H111" s="256" t="s">
        <v>217</v>
      </c>
      <c r="I111" s="257">
        <v>1</v>
      </c>
      <c r="J111" s="258">
        <f t="shared" si="11"/>
        <v>10.72</v>
      </c>
      <c r="K111" s="235"/>
      <c r="L111" s="282"/>
      <c r="M111" s="271"/>
      <c r="N111" s="237"/>
    </row>
    <row r="112" spans="1:14" ht="14.25" customHeight="1" x14ac:dyDescent="0.25">
      <c r="A112" s="234"/>
      <c r="B112" s="252" t="s">
        <v>509</v>
      </c>
      <c r="C112" s="253" t="s">
        <v>513</v>
      </c>
      <c r="D112" s="254" t="s">
        <v>217</v>
      </c>
      <c r="E112" s="254" t="s">
        <v>383</v>
      </c>
      <c r="F112" s="255">
        <v>1.92</v>
      </c>
      <c r="G112" s="256" t="s">
        <v>375</v>
      </c>
      <c r="H112" s="256" t="s">
        <v>375</v>
      </c>
      <c r="I112" s="257">
        <v>1</v>
      </c>
      <c r="J112" s="258">
        <f t="shared" si="11"/>
        <v>1.92</v>
      </c>
      <c r="K112" s="235"/>
      <c r="L112" s="282"/>
      <c r="M112" s="271"/>
      <c r="N112" s="237"/>
    </row>
    <row r="113" spans="1:14" ht="14.25" customHeight="1" x14ac:dyDescent="0.25">
      <c r="A113" s="234"/>
      <c r="B113" s="252" t="s">
        <v>509</v>
      </c>
      <c r="C113" s="253" t="s">
        <v>429</v>
      </c>
      <c r="D113" s="254" t="s">
        <v>435</v>
      </c>
      <c r="E113" s="254" t="s">
        <v>383</v>
      </c>
      <c r="F113" s="255">
        <v>5.0599999999999996</v>
      </c>
      <c r="G113" s="256" t="s">
        <v>375</v>
      </c>
      <c r="H113" s="256" t="s">
        <v>375</v>
      </c>
      <c r="I113" s="257">
        <v>1</v>
      </c>
      <c r="J113" s="258">
        <f t="shared" si="11"/>
        <v>5.0599999999999996</v>
      </c>
      <c r="K113" s="235"/>
      <c r="L113" s="282"/>
      <c r="M113" s="271"/>
      <c r="N113" s="237"/>
    </row>
    <row r="114" spans="1:14" ht="14.25" customHeight="1" x14ac:dyDescent="0.25">
      <c r="A114" s="234"/>
      <c r="B114" s="252" t="s">
        <v>509</v>
      </c>
      <c r="C114" s="253" t="s">
        <v>514</v>
      </c>
      <c r="D114" s="254" t="s">
        <v>435</v>
      </c>
      <c r="E114" s="254" t="s">
        <v>383</v>
      </c>
      <c r="F114" s="255">
        <f>9.38+11.59+16.78+11.48</f>
        <v>49.230000000000004</v>
      </c>
      <c r="G114" s="256" t="s">
        <v>375</v>
      </c>
      <c r="H114" s="256" t="s">
        <v>375</v>
      </c>
      <c r="I114" s="257">
        <v>1</v>
      </c>
      <c r="J114" s="258">
        <f t="shared" si="11"/>
        <v>49.230000000000004</v>
      </c>
      <c r="K114" s="235"/>
      <c r="L114" s="282"/>
      <c r="M114" s="271"/>
      <c r="N114" s="237"/>
    </row>
    <row r="115" spans="1:14" ht="14.25" customHeight="1" x14ac:dyDescent="0.25">
      <c r="A115" s="234"/>
      <c r="B115" s="252" t="s">
        <v>509</v>
      </c>
      <c r="C115" s="253" t="s">
        <v>515</v>
      </c>
      <c r="D115" s="254" t="s">
        <v>517</v>
      </c>
      <c r="E115" s="254" t="s">
        <v>383</v>
      </c>
      <c r="F115" s="255">
        <f>2.59+5.41+3.45</f>
        <v>11.45</v>
      </c>
      <c r="G115" s="256" t="s">
        <v>375</v>
      </c>
      <c r="H115" s="256" t="s">
        <v>375</v>
      </c>
      <c r="I115" s="257">
        <v>1</v>
      </c>
      <c r="J115" s="258">
        <f t="shared" si="11"/>
        <v>11.45</v>
      </c>
      <c r="K115" s="235"/>
      <c r="L115" s="282"/>
      <c r="M115" s="271"/>
      <c r="N115" s="237"/>
    </row>
    <row r="116" spans="1:14" ht="14.25" customHeight="1" x14ac:dyDescent="0.25">
      <c r="A116" s="234"/>
      <c r="B116" s="252" t="s">
        <v>509</v>
      </c>
      <c r="C116" s="253" t="s">
        <v>516</v>
      </c>
      <c r="D116" s="254" t="s">
        <v>217</v>
      </c>
      <c r="E116" s="254" t="s">
        <v>383</v>
      </c>
      <c r="F116" s="255">
        <v>3.16</v>
      </c>
      <c r="G116" s="256" t="s">
        <v>375</v>
      </c>
      <c r="H116" s="256" t="s">
        <v>217</v>
      </c>
      <c r="I116" s="257">
        <v>1</v>
      </c>
      <c r="J116" s="258">
        <f t="shared" si="11"/>
        <v>3.16</v>
      </c>
      <c r="K116" s="235"/>
      <c r="L116" s="282"/>
      <c r="M116" s="271"/>
      <c r="N116" s="237"/>
    </row>
    <row r="117" spans="1:14" ht="14.25" customHeight="1" x14ac:dyDescent="0.25">
      <c r="A117" s="234"/>
      <c r="B117" s="252" t="s">
        <v>509</v>
      </c>
      <c r="C117" s="253" t="s">
        <v>510</v>
      </c>
      <c r="D117" s="254" t="s">
        <v>217</v>
      </c>
      <c r="E117" s="254" t="s">
        <v>383</v>
      </c>
      <c r="F117" s="255">
        <f>7.43+4.5*2</f>
        <v>16.43</v>
      </c>
      <c r="G117" s="256" t="s">
        <v>375</v>
      </c>
      <c r="H117" s="256" t="s">
        <v>217</v>
      </c>
      <c r="I117" s="257">
        <v>1</v>
      </c>
      <c r="J117" s="258">
        <f t="shared" si="11"/>
        <v>16.43</v>
      </c>
      <c r="K117" s="235"/>
      <c r="L117" s="282"/>
      <c r="M117" s="271"/>
      <c r="N117" s="237"/>
    </row>
    <row r="118" spans="1:14" ht="14.25" customHeight="1" x14ac:dyDescent="0.25">
      <c r="A118" s="234"/>
      <c r="B118" s="252" t="s">
        <v>509</v>
      </c>
      <c r="C118" s="253" t="s">
        <v>512</v>
      </c>
      <c r="D118" s="254" t="s">
        <v>517</v>
      </c>
      <c r="E118" s="254" t="s">
        <v>217</v>
      </c>
      <c r="F118" s="255">
        <v>1.39</v>
      </c>
      <c r="G118" s="256" t="s">
        <v>375</v>
      </c>
      <c r="H118" s="256" t="s">
        <v>217</v>
      </c>
      <c r="I118" s="257">
        <v>1</v>
      </c>
      <c r="J118" s="258">
        <f t="shared" si="10"/>
        <v>1.39</v>
      </c>
      <c r="K118" s="235"/>
      <c r="L118" s="282"/>
      <c r="M118" s="271"/>
      <c r="N118" s="237"/>
    </row>
    <row r="119" spans="1:14" ht="14.25" customHeight="1" x14ac:dyDescent="0.25">
      <c r="A119" s="234"/>
      <c r="B119" s="252" t="s">
        <v>509</v>
      </c>
      <c r="C119" s="253" t="s">
        <v>511</v>
      </c>
      <c r="D119" s="254" t="s">
        <v>517</v>
      </c>
      <c r="E119" s="254" t="s">
        <v>383</v>
      </c>
      <c r="F119" s="255">
        <v>32.36</v>
      </c>
      <c r="G119" s="256" t="s">
        <v>375</v>
      </c>
      <c r="H119" s="256" t="s">
        <v>375</v>
      </c>
      <c r="I119" s="257">
        <v>1</v>
      </c>
      <c r="J119" s="258">
        <f t="shared" si="10"/>
        <v>32.36</v>
      </c>
      <c r="K119" s="235"/>
      <c r="L119" s="282"/>
      <c r="M119" s="271"/>
      <c r="N119" s="237"/>
    </row>
    <row r="120" spans="1:14" ht="14.25" customHeight="1" x14ac:dyDescent="0.25">
      <c r="A120" s="234"/>
      <c r="B120" s="252" t="s">
        <v>509</v>
      </c>
      <c r="C120" s="253" t="s">
        <v>512</v>
      </c>
      <c r="D120" s="254" t="s">
        <v>517</v>
      </c>
      <c r="E120" s="254" t="s">
        <v>383</v>
      </c>
      <c r="F120" s="255">
        <v>10.72</v>
      </c>
      <c r="G120" s="256" t="s">
        <v>375</v>
      </c>
      <c r="H120" s="256" t="s">
        <v>217</v>
      </c>
      <c r="I120" s="257">
        <v>1</v>
      </c>
      <c r="J120" s="258">
        <f t="shared" si="10"/>
        <v>10.72</v>
      </c>
      <c r="K120" s="235"/>
      <c r="L120" s="282"/>
      <c r="M120" s="271"/>
      <c r="N120" s="237"/>
    </row>
    <row r="121" spans="1:14" ht="14.25" customHeight="1" x14ac:dyDescent="0.25">
      <c r="A121" s="234"/>
      <c r="B121" s="252" t="s">
        <v>509</v>
      </c>
      <c r="C121" s="253" t="s">
        <v>513</v>
      </c>
      <c r="D121" s="254" t="s">
        <v>217</v>
      </c>
      <c r="E121" s="254" t="s">
        <v>383</v>
      </c>
      <c r="F121" s="255">
        <v>1.92</v>
      </c>
      <c r="G121" s="256" t="s">
        <v>375</v>
      </c>
      <c r="H121" s="256" t="s">
        <v>375</v>
      </c>
      <c r="I121" s="257">
        <v>1</v>
      </c>
      <c r="J121" s="258">
        <f t="shared" si="10"/>
        <v>1.92</v>
      </c>
      <c r="K121" s="235"/>
      <c r="L121" s="282"/>
      <c r="M121" s="271"/>
      <c r="N121" s="237"/>
    </row>
    <row r="122" spans="1:14" ht="14.25" customHeight="1" x14ac:dyDescent="0.25">
      <c r="A122" s="234"/>
      <c r="B122" s="252" t="s">
        <v>509</v>
      </c>
      <c r="C122" s="253" t="s">
        <v>429</v>
      </c>
      <c r="D122" s="254" t="s">
        <v>435</v>
      </c>
      <c r="E122" s="254" t="s">
        <v>383</v>
      </c>
      <c r="F122" s="255">
        <v>5.0599999999999996</v>
      </c>
      <c r="G122" s="256" t="s">
        <v>375</v>
      </c>
      <c r="H122" s="256" t="s">
        <v>375</v>
      </c>
      <c r="I122" s="257">
        <v>1</v>
      </c>
      <c r="J122" s="258">
        <f t="shared" si="10"/>
        <v>5.0599999999999996</v>
      </c>
      <c r="K122" s="235"/>
      <c r="L122" s="282"/>
      <c r="M122" s="271"/>
      <c r="N122" s="237"/>
    </row>
    <row r="123" spans="1:14" ht="14.25" customHeight="1" x14ac:dyDescent="0.25">
      <c r="A123" s="234"/>
      <c r="B123" s="252" t="s">
        <v>509</v>
      </c>
      <c r="C123" s="253" t="s">
        <v>514</v>
      </c>
      <c r="D123" s="254" t="s">
        <v>435</v>
      </c>
      <c r="E123" s="254" t="s">
        <v>383</v>
      </c>
      <c r="F123" s="255">
        <f>9.38+11.59+16.78+11.48</f>
        <v>49.230000000000004</v>
      </c>
      <c r="G123" s="256" t="s">
        <v>375</v>
      </c>
      <c r="H123" s="256" t="s">
        <v>375</v>
      </c>
      <c r="I123" s="257">
        <v>1</v>
      </c>
      <c r="J123" s="258">
        <f t="shared" si="10"/>
        <v>49.230000000000004</v>
      </c>
      <c r="K123" s="235"/>
      <c r="L123" s="282"/>
      <c r="M123" s="271"/>
      <c r="N123" s="237"/>
    </row>
    <row r="124" spans="1:14" ht="14.25" customHeight="1" x14ac:dyDescent="0.25">
      <c r="A124" s="234"/>
      <c r="B124" s="252" t="s">
        <v>509</v>
      </c>
      <c r="C124" s="253" t="s">
        <v>515</v>
      </c>
      <c r="D124" s="254" t="s">
        <v>517</v>
      </c>
      <c r="E124" s="254" t="s">
        <v>383</v>
      </c>
      <c r="F124" s="255">
        <f>2.59+5.41+3.45</f>
        <v>11.45</v>
      </c>
      <c r="G124" s="256" t="s">
        <v>375</v>
      </c>
      <c r="H124" s="256" t="s">
        <v>375</v>
      </c>
      <c r="I124" s="257">
        <v>1</v>
      </c>
      <c r="J124" s="268">
        <f t="shared" si="10"/>
        <v>11.45</v>
      </c>
      <c r="K124" s="235"/>
      <c r="L124" s="282"/>
      <c r="M124" s="271"/>
      <c r="N124" s="237"/>
    </row>
    <row r="125" spans="1:14" ht="14.25" customHeight="1" x14ac:dyDescent="0.25">
      <c r="A125" s="234"/>
      <c r="B125" s="252" t="s">
        <v>509</v>
      </c>
      <c r="C125" s="253" t="s">
        <v>516</v>
      </c>
      <c r="D125" s="254" t="s">
        <v>217</v>
      </c>
      <c r="E125" s="254" t="s">
        <v>383</v>
      </c>
      <c r="F125" s="255">
        <v>3.04</v>
      </c>
      <c r="G125" s="256" t="s">
        <v>375</v>
      </c>
      <c r="H125" s="256" t="s">
        <v>217</v>
      </c>
      <c r="I125" s="257">
        <v>1</v>
      </c>
      <c r="J125" s="268">
        <f t="shared" si="10"/>
        <v>3.04</v>
      </c>
      <c r="K125" s="235"/>
      <c r="L125" s="282"/>
      <c r="M125" s="271"/>
      <c r="N125" s="237"/>
    </row>
    <row r="126" spans="1:14" ht="14.25" customHeight="1" x14ac:dyDescent="0.25">
      <c r="A126" s="234"/>
      <c r="B126" s="252" t="s">
        <v>509</v>
      </c>
      <c r="C126" s="253" t="s">
        <v>512</v>
      </c>
      <c r="D126" s="254" t="s">
        <v>517</v>
      </c>
      <c r="E126" s="254" t="s">
        <v>217</v>
      </c>
      <c r="F126" s="255">
        <v>1.39</v>
      </c>
      <c r="G126" s="256" t="s">
        <v>375</v>
      </c>
      <c r="H126" s="256" t="s">
        <v>217</v>
      </c>
      <c r="I126" s="257">
        <v>1</v>
      </c>
      <c r="J126" s="268">
        <f t="shared" si="10"/>
        <v>1.39</v>
      </c>
      <c r="K126" s="235"/>
      <c r="L126" s="282"/>
      <c r="M126" s="271"/>
      <c r="N126" s="237"/>
    </row>
    <row r="127" spans="1:14" ht="14.25" customHeight="1" x14ac:dyDescent="0.25">
      <c r="A127" s="234"/>
      <c r="B127" s="252" t="s">
        <v>518</v>
      </c>
      <c r="C127" s="253" t="s">
        <v>468</v>
      </c>
      <c r="D127" s="254" t="s">
        <v>382</v>
      </c>
      <c r="E127" s="254" t="s">
        <v>432</v>
      </c>
      <c r="F127" s="255">
        <v>6.3</v>
      </c>
      <c r="G127" s="256" t="s">
        <v>375</v>
      </c>
      <c r="H127" s="256" t="s">
        <v>217</v>
      </c>
      <c r="I127" s="257">
        <v>1</v>
      </c>
      <c r="J127" s="268">
        <f t="shared" si="10"/>
        <v>6.3</v>
      </c>
      <c r="K127" s="235"/>
      <c r="L127" s="282"/>
      <c r="M127" s="271"/>
      <c r="N127" s="237"/>
    </row>
    <row r="128" spans="1:14" ht="14.25" customHeight="1" x14ac:dyDescent="0.25">
      <c r="A128" s="234"/>
      <c r="B128" s="252" t="s">
        <v>518</v>
      </c>
      <c r="C128" s="253" t="s">
        <v>469</v>
      </c>
      <c r="D128" s="254" t="s">
        <v>382</v>
      </c>
      <c r="E128" s="254" t="s">
        <v>193</v>
      </c>
      <c r="F128" s="255">
        <f>17.3+20*1.25*0.175</f>
        <v>21.675000000000001</v>
      </c>
      <c r="G128" s="256" t="s">
        <v>375</v>
      </c>
      <c r="H128" s="256" t="s">
        <v>217</v>
      </c>
      <c r="I128" s="257">
        <v>1</v>
      </c>
      <c r="J128" s="268">
        <f t="shared" si="10"/>
        <v>21.675000000000001</v>
      </c>
      <c r="K128" s="235"/>
      <c r="L128" s="282"/>
      <c r="M128" s="271"/>
      <c r="N128" s="237"/>
    </row>
    <row r="129" spans="1:14" ht="14.25" customHeight="1" x14ac:dyDescent="0.25">
      <c r="A129" s="234"/>
      <c r="B129" s="252" t="s">
        <v>518</v>
      </c>
      <c r="C129" s="253" t="s">
        <v>429</v>
      </c>
      <c r="D129" s="254" t="s">
        <v>517</v>
      </c>
      <c r="E129" s="254" t="s">
        <v>383</v>
      </c>
      <c r="F129" s="255">
        <v>14.59</v>
      </c>
      <c r="G129" s="256" t="s">
        <v>375</v>
      </c>
      <c r="H129" s="256" t="s">
        <v>375</v>
      </c>
      <c r="I129" s="257">
        <v>1</v>
      </c>
      <c r="J129" s="268">
        <f t="shared" si="10"/>
        <v>14.59</v>
      </c>
      <c r="K129" s="235"/>
      <c r="L129" s="282"/>
      <c r="M129" s="271"/>
      <c r="N129" s="237"/>
    </row>
    <row r="130" spans="1:14" ht="14.25" customHeight="1" x14ac:dyDescent="0.25">
      <c r="A130" s="234"/>
      <c r="B130" s="252" t="s">
        <v>518</v>
      </c>
      <c r="C130" s="253" t="s">
        <v>511</v>
      </c>
      <c r="D130" s="254" t="s">
        <v>517</v>
      </c>
      <c r="E130" s="254" t="s">
        <v>383</v>
      </c>
      <c r="F130" s="255">
        <v>29.75</v>
      </c>
      <c r="G130" s="256" t="s">
        <v>375</v>
      </c>
      <c r="H130" s="256" t="s">
        <v>375</v>
      </c>
      <c r="I130" s="257">
        <v>1</v>
      </c>
      <c r="J130" s="268">
        <f t="shared" si="10"/>
        <v>29.75</v>
      </c>
      <c r="K130" s="235"/>
      <c r="L130" s="282"/>
      <c r="M130" s="271"/>
      <c r="N130" s="237"/>
    </row>
    <row r="131" spans="1:14" ht="14.25" customHeight="1" x14ac:dyDescent="0.25">
      <c r="A131" s="234"/>
      <c r="B131" s="252" t="s">
        <v>518</v>
      </c>
      <c r="C131" s="253" t="s">
        <v>512</v>
      </c>
      <c r="D131" s="254" t="s">
        <v>517</v>
      </c>
      <c r="E131" s="254" t="s">
        <v>383</v>
      </c>
      <c r="F131" s="255">
        <v>10.72</v>
      </c>
      <c r="G131" s="256" t="s">
        <v>375</v>
      </c>
      <c r="H131" s="256" t="s">
        <v>217</v>
      </c>
      <c r="I131" s="257">
        <v>1</v>
      </c>
      <c r="J131" s="268">
        <f t="shared" si="10"/>
        <v>10.72</v>
      </c>
      <c r="K131" s="235"/>
      <c r="L131" s="282"/>
      <c r="M131" s="271"/>
      <c r="N131" s="237"/>
    </row>
    <row r="132" spans="1:14" ht="14.25" customHeight="1" x14ac:dyDescent="0.25">
      <c r="A132" s="234"/>
      <c r="B132" s="252" t="s">
        <v>518</v>
      </c>
      <c r="C132" s="253" t="s">
        <v>513</v>
      </c>
      <c r="D132" s="254" t="s">
        <v>217</v>
      </c>
      <c r="E132" s="254" t="s">
        <v>383</v>
      </c>
      <c r="F132" s="255">
        <v>1.92</v>
      </c>
      <c r="G132" s="256" t="s">
        <v>375</v>
      </c>
      <c r="H132" s="256" t="s">
        <v>375</v>
      </c>
      <c r="I132" s="257">
        <v>1</v>
      </c>
      <c r="J132" s="268">
        <f t="shared" si="10"/>
        <v>1.92</v>
      </c>
      <c r="K132" s="235"/>
      <c r="L132" s="282"/>
      <c r="M132" s="271"/>
      <c r="N132" s="237"/>
    </row>
    <row r="133" spans="1:14" ht="14.25" customHeight="1" x14ac:dyDescent="0.25">
      <c r="A133" s="234"/>
      <c r="B133" s="252" t="s">
        <v>518</v>
      </c>
      <c r="C133" s="253" t="s">
        <v>429</v>
      </c>
      <c r="D133" s="254" t="s">
        <v>435</v>
      </c>
      <c r="E133" s="254" t="s">
        <v>383</v>
      </c>
      <c r="F133" s="255">
        <v>5.0599999999999996</v>
      </c>
      <c r="G133" s="256" t="s">
        <v>375</v>
      </c>
      <c r="H133" s="256" t="s">
        <v>375</v>
      </c>
      <c r="I133" s="257">
        <v>1</v>
      </c>
      <c r="J133" s="268">
        <f t="shared" si="10"/>
        <v>5.0599999999999996</v>
      </c>
      <c r="K133" s="235"/>
      <c r="L133" s="282"/>
      <c r="M133" s="271"/>
      <c r="N133" s="237"/>
    </row>
    <row r="134" spans="1:14" ht="14.25" customHeight="1" x14ac:dyDescent="0.25">
      <c r="A134" s="234"/>
      <c r="B134" s="252" t="s">
        <v>518</v>
      </c>
      <c r="C134" s="253" t="s">
        <v>514</v>
      </c>
      <c r="D134" s="254" t="s">
        <v>435</v>
      </c>
      <c r="E134" s="254" t="s">
        <v>383</v>
      </c>
      <c r="F134" s="255">
        <f>9.38+11.59+16.78+11.48</f>
        <v>49.230000000000004</v>
      </c>
      <c r="G134" s="256" t="s">
        <v>375</v>
      </c>
      <c r="H134" s="256" t="s">
        <v>375</v>
      </c>
      <c r="I134" s="257">
        <v>1</v>
      </c>
      <c r="J134" s="268">
        <f t="shared" si="10"/>
        <v>49.230000000000004</v>
      </c>
      <c r="K134" s="235"/>
      <c r="L134" s="282"/>
      <c r="M134" s="271"/>
      <c r="N134" s="237"/>
    </row>
    <row r="135" spans="1:14" ht="14.25" customHeight="1" x14ac:dyDescent="0.25">
      <c r="A135" s="234"/>
      <c r="B135" s="252" t="s">
        <v>518</v>
      </c>
      <c r="C135" s="253" t="s">
        <v>515</v>
      </c>
      <c r="D135" s="254" t="s">
        <v>517</v>
      </c>
      <c r="E135" s="254" t="s">
        <v>383</v>
      </c>
      <c r="F135" s="255">
        <f>2.59+5.41+3.45</f>
        <v>11.45</v>
      </c>
      <c r="G135" s="256" t="s">
        <v>375</v>
      </c>
      <c r="H135" s="256" t="s">
        <v>375</v>
      </c>
      <c r="I135" s="257">
        <v>1</v>
      </c>
      <c r="J135" s="268">
        <f t="shared" si="10"/>
        <v>11.45</v>
      </c>
      <c r="K135" s="235"/>
      <c r="L135" s="282"/>
      <c r="M135" s="271"/>
      <c r="N135" s="237"/>
    </row>
    <row r="136" spans="1:14" ht="14.25" customHeight="1" x14ac:dyDescent="0.25">
      <c r="A136" s="234"/>
      <c r="B136" s="252" t="s">
        <v>518</v>
      </c>
      <c r="C136" s="253" t="s">
        <v>516</v>
      </c>
      <c r="D136" s="254" t="s">
        <v>217</v>
      </c>
      <c r="E136" s="254" t="s">
        <v>383</v>
      </c>
      <c r="F136" s="255">
        <v>3.16</v>
      </c>
      <c r="G136" s="256" t="s">
        <v>375</v>
      </c>
      <c r="H136" s="256" t="s">
        <v>217</v>
      </c>
      <c r="I136" s="257">
        <v>1</v>
      </c>
      <c r="J136" s="268">
        <f t="shared" si="10"/>
        <v>3.16</v>
      </c>
      <c r="K136" s="235"/>
      <c r="L136" s="282"/>
      <c r="M136" s="271"/>
      <c r="N136" s="237"/>
    </row>
    <row r="137" spans="1:14" ht="14.25" customHeight="1" x14ac:dyDescent="0.25">
      <c r="A137" s="234"/>
      <c r="B137" s="252" t="s">
        <v>518</v>
      </c>
      <c r="C137" s="253" t="s">
        <v>510</v>
      </c>
      <c r="D137" s="254" t="s">
        <v>217</v>
      </c>
      <c r="E137" s="254" t="s">
        <v>383</v>
      </c>
      <c r="F137" s="255">
        <f>4.5*2</f>
        <v>9</v>
      </c>
      <c r="G137" s="256" t="s">
        <v>375</v>
      </c>
      <c r="H137" s="256" t="s">
        <v>217</v>
      </c>
      <c r="I137" s="257">
        <v>1</v>
      </c>
      <c r="J137" s="268">
        <f t="shared" si="10"/>
        <v>9</v>
      </c>
      <c r="K137" s="235"/>
      <c r="L137" s="282"/>
      <c r="M137" s="271"/>
      <c r="N137" s="237"/>
    </row>
    <row r="138" spans="1:14" ht="14.25" customHeight="1" x14ac:dyDescent="0.25">
      <c r="A138" s="234"/>
      <c r="B138" s="252" t="s">
        <v>518</v>
      </c>
      <c r="C138" s="253" t="s">
        <v>512</v>
      </c>
      <c r="D138" s="254" t="s">
        <v>517</v>
      </c>
      <c r="E138" s="254" t="s">
        <v>217</v>
      </c>
      <c r="F138" s="255">
        <v>1.39</v>
      </c>
      <c r="G138" s="256" t="s">
        <v>375</v>
      </c>
      <c r="H138" s="256" t="s">
        <v>217</v>
      </c>
      <c r="I138" s="257">
        <v>1</v>
      </c>
      <c r="J138" s="268">
        <f t="shared" si="10"/>
        <v>1.39</v>
      </c>
      <c r="K138" s="235"/>
      <c r="L138" s="282"/>
      <c r="M138" s="271"/>
      <c r="N138" s="237"/>
    </row>
    <row r="139" spans="1:14" ht="14.25" customHeight="1" x14ac:dyDescent="0.25">
      <c r="A139" s="234"/>
      <c r="B139" s="252" t="s">
        <v>518</v>
      </c>
      <c r="C139" s="253" t="s">
        <v>511</v>
      </c>
      <c r="D139" s="254" t="s">
        <v>517</v>
      </c>
      <c r="E139" s="254" t="s">
        <v>383</v>
      </c>
      <c r="F139" s="255">
        <v>32.36</v>
      </c>
      <c r="G139" s="256" t="s">
        <v>375</v>
      </c>
      <c r="H139" s="256" t="s">
        <v>375</v>
      </c>
      <c r="I139" s="257">
        <v>1</v>
      </c>
      <c r="J139" s="268">
        <f t="shared" ref="J139:J162" si="12">F139*I139</f>
        <v>32.36</v>
      </c>
      <c r="K139" s="235"/>
      <c r="L139" s="282"/>
      <c r="M139" s="271"/>
      <c r="N139" s="237"/>
    </row>
    <row r="140" spans="1:14" ht="14.25" customHeight="1" x14ac:dyDescent="0.25">
      <c r="A140" s="234"/>
      <c r="B140" s="252" t="s">
        <v>518</v>
      </c>
      <c r="C140" s="253" t="s">
        <v>512</v>
      </c>
      <c r="D140" s="254" t="s">
        <v>517</v>
      </c>
      <c r="E140" s="254" t="s">
        <v>383</v>
      </c>
      <c r="F140" s="255">
        <v>10.72</v>
      </c>
      <c r="G140" s="256" t="s">
        <v>375</v>
      </c>
      <c r="H140" s="256" t="s">
        <v>217</v>
      </c>
      <c r="I140" s="257">
        <v>1</v>
      </c>
      <c r="J140" s="268">
        <f t="shared" si="12"/>
        <v>10.72</v>
      </c>
      <c r="K140" s="235"/>
      <c r="L140" s="282"/>
      <c r="M140" s="271"/>
      <c r="N140" s="237"/>
    </row>
    <row r="141" spans="1:14" ht="14.25" customHeight="1" x14ac:dyDescent="0.25">
      <c r="A141" s="234"/>
      <c r="B141" s="252" t="s">
        <v>518</v>
      </c>
      <c r="C141" s="253" t="s">
        <v>513</v>
      </c>
      <c r="D141" s="254" t="s">
        <v>217</v>
      </c>
      <c r="E141" s="254" t="s">
        <v>383</v>
      </c>
      <c r="F141" s="255">
        <v>1.92</v>
      </c>
      <c r="G141" s="256" t="s">
        <v>375</v>
      </c>
      <c r="H141" s="256" t="s">
        <v>375</v>
      </c>
      <c r="I141" s="257">
        <v>1</v>
      </c>
      <c r="J141" s="268">
        <f t="shared" si="12"/>
        <v>1.92</v>
      </c>
      <c r="K141" s="235"/>
      <c r="L141" s="282"/>
      <c r="M141" s="271"/>
      <c r="N141" s="237"/>
    </row>
    <row r="142" spans="1:14" ht="14.25" customHeight="1" x14ac:dyDescent="0.25">
      <c r="A142" s="234"/>
      <c r="B142" s="252" t="s">
        <v>518</v>
      </c>
      <c r="C142" s="253" t="s">
        <v>429</v>
      </c>
      <c r="D142" s="254" t="s">
        <v>435</v>
      </c>
      <c r="E142" s="254" t="s">
        <v>383</v>
      </c>
      <c r="F142" s="255">
        <v>5.0599999999999996</v>
      </c>
      <c r="G142" s="256" t="s">
        <v>375</v>
      </c>
      <c r="H142" s="256" t="s">
        <v>375</v>
      </c>
      <c r="I142" s="257">
        <v>1</v>
      </c>
      <c r="J142" s="268">
        <f t="shared" si="12"/>
        <v>5.0599999999999996</v>
      </c>
      <c r="K142" s="235"/>
      <c r="L142" s="282"/>
      <c r="M142" s="271"/>
      <c r="N142" s="237"/>
    </row>
    <row r="143" spans="1:14" ht="14.25" customHeight="1" x14ac:dyDescent="0.25">
      <c r="A143" s="234"/>
      <c r="B143" s="252" t="s">
        <v>518</v>
      </c>
      <c r="C143" s="253" t="s">
        <v>514</v>
      </c>
      <c r="D143" s="254" t="s">
        <v>435</v>
      </c>
      <c r="E143" s="254" t="s">
        <v>383</v>
      </c>
      <c r="F143" s="255">
        <f>9.38+11.59+16.78+11.48</f>
        <v>49.230000000000004</v>
      </c>
      <c r="G143" s="256" t="s">
        <v>375</v>
      </c>
      <c r="H143" s="256" t="s">
        <v>375</v>
      </c>
      <c r="I143" s="257">
        <v>1</v>
      </c>
      <c r="J143" s="268">
        <f t="shared" si="12"/>
        <v>49.230000000000004</v>
      </c>
      <c r="K143" s="235"/>
      <c r="L143" s="282"/>
      <c r="M143" s="271"/>
      <c r="N143" s="237"/>
    </row>
    <row r="144" spans="1:14" ht="14.25" customHeight="1" x14ac:dyDescent="0.25">
      <c r="A144" s="234"/>
      <c r="B144" s="252" t="s">
        <v>518</v>
      </c>
      <c r="C144" s="253" t="s">
        <v>515</v>
      </c>
      <c r="D144" s="254" t="s">
        <v>517</v>
      </c>
      <c r="E144" s="254" t="s">
        <v>383</v>
      </c>
      <c r="F144" s="255">
        <f>2.59+3.45+5.41</f>
        <v>11.45</v>
      </c>
      <c r="G144" s="256" t="s">
        <v>375</v>
      </c>
      <c r="H144" s="256" t="s">
        <v>375</v>
      </c>
      <c r="I144" s="257">
        <v>1</v>
      </c>
      <c r="J144" s="268">
        <f t="shared" si="12"/>
        <v>11.45</v>
      </c>
      <c r="K144" s="235"/>
      <c r="L144" s="282"/>
      <c r="M144" s="271"/>
      <c r="N144" s="237"/>
    </row>
    <row r="145" spans="1:14" ht="14.25" customHeight="1" x14ac:dyDescent="0.25">
      <c r="A145" s="234"/>
      <c r="B145" s="252" t="s">
        <v>518</v>
      </c>
      <c r="C145" s="253" t="s">
        <v>516</v>
      </c>
      <c r="D145" s="254" t="s">
        <v>217</v>
      </c>
      <c r="E145" s="254" t="s">
        <v>383</v>
      </c>
      <c r="F145" s="255">
        <f>3.04</f>
        <v>3.04</v>
      </c>
      <c r="G145" s="256" t="s">
        <v>375</v>
      </c>
      <c r="H145" s="256" t="s">
        <v>217</v>
      </c>
      <c r="I145" s="257">
        <v>1</v>
      </c>
      <c r="J145" s="268">
        <f t="shared" si="12"/>
        <v>3.04</v>
      </c>
      <c r="K145" s="235"/>
      <c r="L145" s="282"/>
      <c r="M145" s="271"/>
      <c r="N145" s="237"/>
    </row>
    <row r="146" spans="1:14" ht="14.25" customHeight="1" x14ac:dyDescent="0.25">
      <c r="A146" s="234"/>
      <c r="B146" s="252" t="s">
        <v>518</v>
      </c>
      <c r="C146" s="253" t="s">
        <v>510</v>
      </c>
      <c r="D146" s="254" t="s">
        <v>217</v>
      </c>
      <c r="E146" s="254" t="s">
        <v>217</v>
      </c>
      <c r="F146" s="255">
        <v>15.58</v>
      </c>
      <c r="G146" s="256" t="s">
        <v>375</v>
      </c>
      <c r="H146" s="256" t="s">
        <v>217</v>
      </c>
      <c r="I146" s="257">
        <v>1</v>
      </c>
      <c r="J146" s="268">
        <f t="shared" si="12"/>
        <v>15.58</v>
      </c>
      <c r="K146" s="235"/>
      <c r="L146" s="282"/>
      <c r="M146" s="271"/>
      <c r="N146" s="237"/>
    </row>
    <row r="147" spans="1:14" ht="14.25" customHeight="1" x14ac:dyDescent="0.25">
      <c r="A147" s="234"/>
      <c r="B147" s="252" t="s">
        <v>518</v>
      </c>
      <c r="C147" s="253" t="s">
        <v>512</v>
      </c>
      <c r="D147" s="254" t="s">
        <v>517</v>
      </c>
      <c r="E147" s="254" t="s">
        <v>217</v>
      </c>
      <c r="F147" s="255">
        <v>1.39</v>
      </c>
      <c r="G147" s="256" t="s">
        <v>375</v>
      </c>
      <c r="H147" s="256" t="s">
        <v>217</v>
      </c>
      <c r="I147" s="257">
        <v>1</v>
      </c>
      <c r="J147" s="268">
        <f t="shared" si="12"/>
        <v>1.39</v>
      </c>
      <c r="K147" s="235"/>
      <c r="L147" s="282"/>
      <c r="M147" s="271"/>
      <c r="N147" s="237"/>
    </row>
    <row r="148" spans="1:14" ht="14.25" customHeight="1" x14ac:dyDescent="0.25">
      <c r="A148" s="234"/>
      <c r="B148" s="252" t="s">
        <v>519</v>
      </c>
      <c r="C148" s="253" t="s">
        <v>511</v>
      </c>
      <c r="D148" s="254" t="s">
        <v>517</v>
      </c>
      <c r="E148" s="254" t="s">
        <v>383</v>
      </c>
      <c r="F148" s="255">
        <f>29.75</f>
        <v>29.75</v>
      </c>
      <c r="G148" s="256" t="s">
        <v>375</v>
      </c>
      <c r="H148" s="256" t="s">
        <v>375</v>
      </c>
      <c r="I148" s="269">
        <f>13*2</f>
        <v>26</v>
      </c>
      <c r="J148" s="268">
        <f t="shared" si="12"/>
        <v>773.5</v>
      </c>
      <c r="K148" s="235"/>
      <c r="L148" s="282"/>
      <c r="M148" s="271"/>
      <c r="N148" s="237"/>
    </row>
    <row r="149" spans="1:14" ht="14.25" customHeight="1" x14ac:dyDescent="0.25">
      <c r="A149" s="234"/>
      <c r="B149" s="252" t="s">
        <v>519</v>
      </c>
      <c r="C149" s="253" t="s">
        <v>512</v>
      </c>
      <c r="D149" s="254" t="s">
        <v>517</v>
      </c>
      <c r="E149" s="254" t="s">
        <v>383</v>
      </c>
      <c r="F149" s="255">
        <v>10.72</v>
      </c>
      <c r="G149" s="256" t="s">
        <v>375</v>
      </c>
      <c r="H149" s="256" t="s">
        <v>217</v>
      </c>
      <c r="I149" s="269">
        <f t="shared" ref="I149:I165" si="13">13*2</f>
        <v>26</v>
      </c>
      <c r="J149" s="268">
        <f t="shared" si="12"/>
        <v>278.72000000000003</v>
      </c>
      <c r="K149" s="235"/>
      <c r="L149" s="282"/>
      <c r="M149" s="271"/>
      <c r="N149" s="237"/>
    </row>
    <row r="150" spans="1:14" ht="14.25" customHeight="1" x14ac:dyDescent="0.25">
      <c r="A150" s="234"/>
      <c r="B150" s="252" t="s">
        <v>519</v>
      </c>
      <c r="C150" s="253" t="s">
        <v>513</v>
      </c>
      <c r="D150" s="254" t="s">
        <v>217</v>
      </c>
      <c r="E150" s="254" t="s">
        <v>217</v>
      </c>
      <c r="F150" s="255">
        <v>1.92</v>
      </c>
      <c r="G150" s="256" t="s">
        <v>375</v>
      </c>
      <c r="H150" s="256" t="s">
        <v>375</v>
      </c>
      <c r="I150" s="269">
        <f t="shared" si="13"/>
        <v>26</v>
      </c>
      <c r="J150" s="268">
        <f t="shared" si="12"/>
        <v>49.92</v>
      </c>
      <c r="K150" s="235"/>
      <c r="L150" s="282"/>
      <c r="M150" s="271"/>
      <c r="N150" s="237"/>
    </row>
    <row r="151" spans="1:14" ht="14.25" customHeight="1" x14ac:dyDescent="0.25">
      <c r="A151" s="234"/>
      <c r="B151" s="252" t="s">
        <v>519</v>
      </c>
      <c r="C151" s="253" t="s">
        <v>429</v>
      </c>
      <c r="D151" s="254" t="s">
        <v>435</v>
      </c>
      <c r="E151" s="254" t="s">
        <v>383</v>
      </c>
      <c r="F151" s="255">
        <v>5.0599999999999996</v>
      </c>
      <c r="G151" s="256" t="s">
        <v>375</v>
      </c>
      <c r="H151" s="256" t="s">
        <v>375</v>
      </c>
      <c r="I151" s="269">
        <f t="shared" si="13"/>
        <v>26</v>
      </c>
      <c r="J151" s="268">
        <f t="shared" si="12"/>
        <v>131.56</v>
      </c>
      <c r="K151" s="235"/>
      <c r="L151" s="282"/>
      <c r="M151" s="271"/>
      <c r="N151" s="237"/>
    </row>
    <row r="152" spans="1:14" ht="14.25" customHeight="1" x14ac:dyDescent="0.25">
      <c r="A152" s="234"/>
      <c r="B152" s="252" t="s">
        <v>519</v>
      </c>
      <c r="C152" s="253" t="s">
        <v>514</v>
      </c>
      <c r="D152" s="254" t="s">
        <v>435</v>
      </c>
      <c r="E152" s="254" t="s">
        <v>383</v>
      </c>
      <c r="F152" s="255">
        <f>9.38+11.59+16.78+11.48</f>
        <v>49.230000000000004</v>
      </c>
      <c r="G152" s="256" t="s">
        <v>375</v>
      </c>
      <c r="H152" s="256" t="s">
        <v>375</v>
      </c>
      <c r="I152" s="269">
        <f t="shared" si="13"/>
        <v>26</v>
      </c>
      <c r="J152" s="268">
        <f t="shared" si="12"/>
        <v>1279.98</v>
      </c>
      <c r="K152" s="235"/>
      <c r="L152" s="282"/>
      <c r="M152" s="271"/>
      <c r="N152" s="237"/>
    </row>
    <row r="153" spans="1:14" ht="14.25" customHeight="1" x14ac:dyDescent="0.25">
      <c r="A153" s="234"/>
      <c r="B153" s="252" t="s">
        <v>519</v>
      </c>
      <c r="C153" s="253" t="s">
        <v>515</v>
      </c>
      <c r="D153" s="254" t="s">
        <v>517</v>
      </c>
      <c r="E153" s="254" t="s">
        <v>383</v>
      </c>
      <c r="F153" s="255">
        <f>2.59+5.41+3.45</f>
        <v>11.45</v>
      </c>
      <c r="G153" s="256" t="s">
        <v>375</v>
      </c>
      <c r="H153" s="256" t="s">
        <v>375</v>
      </c>
      <c r="I153" s="269">
        <f t="shared" si="13"/>
        <v>26</v>
      </c>
      <c r="J153" s="268">
        <f t="shared" si="12"/>
        <v>297.7</v>
      </c>
      <c r="K153" s="235"/>
      <c r="L153" s="282"/>
      <c r="M153" s="271"/>
      <c r="N153" s="237"/>
    </row>
    <row r="154" spans="1:14" ht="14.25" customHeight="1" x14ac:dyDescent="0.25">
      <c r="A154" s="234"/>
      <c r="B154" s="252" t="s">
        <v>519</v>
      </c>
      <c r="C154" s="253" t="s">
        <v>516</v>
      </c>
      <c r="D154" s="254" t="s">
        <v>217</v>
      </c>
      <c r="E154" s="254" t="s">
        <v>383</v>
      </c>
      <c r="F154" s="255">
        <v>3.16</v>
      </c>
      <c r="G154" s="256" t="s">
        <v>375</v>
      </c>
      <c r="H154" s="256" t="s">
        <v>217</v>
      </c>
      <c r="I154" s="269">
        <f t="shared" si="13"/>
        <v>26</v>
      </c>
      <c r="J154" s="268">
        <f t="shared" si="12"/>
        <v>82.16</v>
      </c>
      <c r="K154" s="235"/>
      <c r="L154" s="282"/>
      <c r="M154" s="271"/>
      <c r="N154" s="237"/>
    </row>
    <row r="155" spans="1:14" ht="14.25" customHeight="1" x14ac:dyDescent="0.25">
      <c r="A155" s="234"/>
      <c r="B155" s="252" t="s">
        <v>519</v>
      </c>
      <c r="C155" s="253" t="s">
        <v>512</v>
      </c>
      <c r="D155" s="254" t="s">
        <v>517</v>
      </c>
      <c r="E155" s="254" t="s">
        <v>217</v>
      </c>
      <c r="F155" s="255">
        <v>1.39</v>
      </c>
      <c r="G155" s="256" t="s">
        <v>375</v>
      </c>
      <c r="H155" s="256" t="s">
        <v>217</v>
      </c>
      <c r="I155" s="269">
        <f t="shared" si="13"/>
        <v>26</v>
      </c>
      <c r="J155" s="268">
        <f t="shared" ref="J155" si="14">F155*I155</f>
        <v>36.14</v>
      </c>
      <c r="K155" s="235"/>
      <c r="L155" s="282"/>
      <c r="M155" s="271"/>
      <c r="N155" s="237"/>
    </row>
    <row r="156" spans="1:14" ht="14.25" customHeight="1" x14ac:dyDescent="0.25">
      <c r="A156" s="234"/>
      <c r="B156" s="252" t="s">
        <v>519</v>
      </c>
      <c r="C156" s="253" t="s">
        <v>511</v>
      </c>
      <c r="D156" s="254" t="s">
        <v>517</v>
      </c>
      <c r="E156" s="254" t="s">
        <v>383</v>
      </c>
      <c r="F156" s="255">
        <v>32.36</v>
      </c>
      <c r="G156" s="256" t="s">
        <v>375</v>
      </c>
      <c r="H156" s="256" t="s">
        <v>375</v>
      </c>
      <c r="I156" s="269">
        <f t="shared" si="13"/>
        <v>26</v>
      </c>
      <c r="J156" s="268">
        <f t="shared" si="12"/>
        <v>841.36</v>
      </c>
      <c r="K156" s="235"/>
      <c r="L156" s="282"/>
      <c r="M156" s="271"/>
      <c r="N156" s="237"/>
    </row>
    <row r="157" spans="1:14" ht="14.25" customHeight="1" x14ac:dyDescent="0.25">
      <c r="A157" s="234"/>
      <c r="B157" s="252" t="s">
        <v>519</v>
      </c>
      <c r="C157" s="253" t="s">
        <v>512</v>
      </c>
      <c r="D157" s="254" t="s">
        <v>517</v>
      </c>
      <c r="E157" s="254" t="s">
        <v>383</v>
      </c>
      <c r="F157" s="255">
        <v>10.72</v>
      </c>
      <c r="G157" s="256" t="s">
        <v>375</v>
      </c>
      <c r="H157" s="256" t="s">
        <v>217</v>
      </c>
      <c r="I157" s="269">
        <f t="shared" si="13"/>
        <v>26</v>
      </c>
      <c r="J157" s="268">
        <f t="shared" si="12"/>
        <v>278.72000000000003</v>
      </c>
      <c r="K157" s="235"/>
      <c r="L157" s="282"/>
      <c r="M157" s="271"/>
      <c r="N157" s="237"/>
    </row>
    <row r="158" spans="1:14" ht="14.25" customHeight="1" x14ac:dyDescent="0.25">
      <c r="A158" s="234"/>
      <c r="B158" s="252" t="s">
        <v>519</v>
      </c>
      <c r="C158" s="253" t="s">
        <v>513</v>
      </c>
      <c r="D158" s="254" t="s">
        <v>217</v>
      </c>
      <c r="E158" s="254" t="s">
        <v>383</v>
      </c>
      <c r="F158" s="255">
        <v>1.92</v>
      </c>
      <c r="G158" s="256" t="s">
        <v>375</v>
      </c>
      <c r="H158" s="256" t="s">
        <v>375</v>
      </c>
      <c r="I158" s="269">
        <f t="shared" si="13"/>
        <v>26</v>
      </c>
      <c r="J158" s="268">
        <f t="shared" si="12"/>
        <v>49.92</v>
      </c>
      <c r="K158" s="235"/>
      <c r="L158" s="282"/>
      <c r="M158" s="271"/>
      <c r="N158" s="237"/>
    </row>
    <row r="159" spans="1:14" ht="14.25" customHeight="1" x14ac:dyDescent="0.25">
      <c r="A159" s="234"/>
      <c r="B159" s="252" t="s">
        <v>519</v>
      </c>
      <c r="C159" s="253" t="s">
        <v>429</v>
      </c>
      <c r="D159" s="254" t="s">
        <v>435</v>
      </c>
      <c r="E159" s="254" t="s">
        <v>383</v>
      </c>
      <c r="F159" s="255">
        <v>5.0599999999999996</v>
      </c>
      <c r="G159" s="256" t="s">
        <v>375</v>
      </c>
      <c r="H159" s="256" t="s">
        <v>375</v>
      </c>
      <c r="I159" s="269">
        <f t="shared" si="13"/>
        <v>26</v>
      </c>
      <c r="J159" s="268">
        <f t="shared" si="12"/>
        <v>131.56</v>
      </c>
      <c r="K159" s="235"/>
      <c r="L159" s="282"/>
      <c r="M159" s="271"/>
      <c r="N159" s="237"/>
    </row>
    <row r="160" spans="1:14" ht="14.25" customHeight="1" x14ac:dyDescent="0.25">
      <c r="A160" s="234"/>
      <c r="B160" s="252" t="s">
        <v>519</v>
      </c>
      <c r="C160" s="253" t="s">
        <v>514</v>
      </c>
      <c r="D160" s="254" t="s">
        <v>435</v>
      </c>
      <c r="E160" s="254" t="s">
        <v>383</v>
      </c>
      <c r="F160" s="255">
        <f>9.38+11.59+16.78+11.48</f>
        <v>49.230000000000004</v>
      </c>
      <c r="G160" s="256" t="s">
        <v>375</v>
      </c>
      <c r="H160" s="256" t="s">
        <v>375</v>
      </c>
      <c r="I160" s="269">
        <f t="shared" si="13"/>
        <v>26</v>
      </c>
      <c r="J160" s="268">
        <f t="shared" si="12"/>
        <v>1279.98</v>
      </c>
      <c r="K160" s="235"/>
      <c r="L160" s="282"/>
      <c r="M160" s="271"/>
      <c r="N160" s="237"/>
    </row>
    <row r="161" spans="1:14" ht="14.25" customHeight="1" x14ac:dyDescent="0.25">
      <c r="A161" s="234"/>
      <c r="B161" s="252" t="s">
        <v>519</v>
      </c>
      <c r="C161" s="253" t="s">
        <v>515</v>
      </c>
      <c r="D161" s="254" t="s">
        <v>517</v>
      </c>
      <c r="E161" s="254" t="s">
        <v>383</v>
      </c>
      <c r="F161" s="255">
        <f>2.59+3.45+5.41</f>
        <v>11.45</v>
      </c>
      <c r="G161" s="256" t="s">
        <v>375</v>
      </c>
      <c r="H161" s="256" t="s">
        <v>375</v>
      </c>
      <c r="I161" s="269">
        <f t="shared" si="13"/>
        <v>26</v>
      </c>
      <c r="J161" s="268">
        <f t="shared" si="12"/>
        <v>297.7</v>
      </c>
      <c r="K161" s="235"/>
      <c r="L161" s="282"/>
      <c r="M161" s="271"/>
      <c r="N161" s="237"/>
    </row>
    <row r="162" spans="1:14" ht="14.25" customHeight="1" x14ac:dyDescent="0.25">
      <c r="A162" s="234"/>
      <c r="B162" s="252" t="s">
        <v>519</v>
      </c>
      <c r="C162" s="253" t="s">
        <v>516</v>
      </c>
      <c r="D162" s="254" t="s">
        <v>217</v>
      </c>
      <c r="E162" s="254" t="s">
        <v>383</v>
      </c>
      <c r="F162" s="255">
        <v>3.04</v>
      </c>
      <c r="G162" s="256" t="s">
        <v>375</v>
      </c>
      <c r="H162" s="256" t="s">
        <v>217</v>
      </c>
      <c r="I162" s="269">
        <f t="shared" si="13"/>
        <v>26</v>
      </c>
      <c r="J162" s="268">
        <f t="shared" si="12"/>
        <v>79.040000000000006</v>
      </c>
      <c r="K162" s="235"/>
      <c r="L162" s="282"/>
      <c r="M162" s="271"/>
      <c r="N162" s="237"/>
    </row>
    <row r="163" spans="1:14" ht="14.25" customHeight="1" x14ac:dyDescent="0.25">
      <c r="A163" s="234"/>
      <c r="B163" s="252" t="s">
        <v>519</v>
      </c>
      <c r="C163" s="253" t="s">
        <v>512</v>
      </c>
      <c r="D163" s="254" t="s">
        <v>517</v>
      </c>
      <c r="E163" s="254" t="s">
        <v>217</v>
      </c>
      <c r="F163" s="255">
        <v>1.39</v>
      </c>
      <c r="G163" s="256" t="s">
        <v>375</v>
      </c>
      <c r="H163" s="256" t="s">
        <v>217</v>
      </c>
      <c r="I163" s="269">
        <f t="shared" si="13"/>
        <v>26</v>
      </c>
      <c r="J163" s="268">
        <f t="shared" ref="J163:J198" si="15">F163*I163</f>
        <v>36.14</v>
      </c>
      <c r="K163" s="235"/>
      <c r="L163" s="282"/>
      <c r="M163" s="271"/>
      <c r="N163" s="237"/>
    </row>
    <row r="164" spans="1:14" ht="14.25" customHeight="1" x14ac:dyDescent="0.25">
      <c r="A164" s="234"/>
      <c r="B164" s="252" t="s">
        <v>519</v>
      </c>
      <c r="C164" s="253" t="s">
        <v>520</v>
      </c>
      <c r="D164" s="254" t="s">
        <v>382</v>
      </c>
      <c r="E164" s="254" t="s">
        <v>432</v>
      </c>
      <c r="F164" s="255">
        <v>6.3</v>
      </c>
      <c r="G164" s="256" t="s">
        <v>375</v>
      </c>
      <c r="H164" s="256" t="s">
        <v>217</v>
      </c>
      <c r="I164" s="269">
        <f t="shared" si="13"/>
        <v>26</v>
      </c>
      <c r="J164" s="258">
        <f t="shared" si="15"/>
        <v>163.79999999999998</v>
      </c>
      <c r="K164" s="235"/>
      <c r="L164" s="282"/>
      <c r="M164" s="271"/>
      <c r="N164" s="237"/>
    </row>
    <row r="165" spans="1:14" ht="14.25" customHeight="1" x14ac:dyDescent="0.25">
      <c r="A165" s="234"/>
      <c r="B165" s="252" t="s">
        <v>519</v>
      </c>
      <c r="C165" s="253" t="s">
        <v>521</v>
      </c>
      <c r="D165" s="254" t="s">
        <v>382</v>
      </c>
      <c r="E165" s="254" t="s">
        <v>193</v>
      </c>
      <c r="F165" s="255">
        <f>17.3+20*1.25*0.175</f>
        <v>21.675000000000001</v>
      </c>
      <c r="G165" s="256" t="s">
        <v>375</v>
      </c>
      <c r="H165" s="256" t="s">
        <v>217</v>
      </c>
      <c r="I165" s="269">
        <f t="shared" si="13"/>
        <v>26</v>
      </c>
      <c r="J165" s="258">
        <f t="shared" si="15"/>
        <v>563.55000000000007</v>
      </c>
      <c r="K165" s="235"/>
      <c r="L165" s="282"/>
      <c r="M165" s="271"/>
      <c r="N165" s="237"/>
    </row>
    <row r="166" spans="1:14" ht="14.25" customHeight="1" x14ac:dyDescent="0.25">
      <c r="A166" s="234"/>
      <c r="B166" s="252" t="s">
        <v>522</v>
      </c>
      <c r="C166" s="253" t="s">
        <v>520</v>
      </c>
      <c r="D166" s="254" t="s">
        <v>382</v>
      </c>
      <c r="E166" s="254" t="s">
        <v>432</v>
      </c>
      <c r="F166" s="255">
        <v>6.3</v>
      </c>
      <c r="G166" s="256" t="s">
        <v>375</v>
      </c>
      <c r="H166" s="256" t="s">
        <v>217</v>
      </c>
      <c r="I166" s="269">
        <v>2</v>
      </c>
      <c r="J166" s="258">
        <f t="shared" si="15"/>
        <v>12.6</v>
      </c>
      <c r="K166" s="235"/>
      <c r="L166" s="282"/>
      <c r="M166" s="271"/>
      <c r="N166" s="237"/>
    </row>
    <row r="167" spans="1:14" ht="14.25" customHeight="1" x14ac:dyDescent="0.25">
      <c r="A167" s="234"/>
      <c r="B167" s="252" t="s">
        <v>522</v>
      </c>
      <c r="C167" s="253" t="s">
        <v>521</v>
      </c>
      <c r="D167" s="254" t="s">
        <v>382</v>
      </c>
      <c r="E167" s="254" t="s">
        <v>193</v>
      </c>
      <c r="F167" s="255">
        <f>17.3+20*1.25*0.175</f>
        <v>21.675000000000001</v>
      </c>
      <c r="G167" s="256" t="s">
        <v>375</v>
      </c>
      <c r="H167" s="256" t="s">
        <v>217</v>
      </c>
      <c r="I167" s="269">
        <v>2</v>
      </c>
      <c r="J167" s="258">
        <f t="shared" si="15"/>
        <v>43.35</v>
      </c>
      <c r="K167" s="235"/>
      <c r="L167" s="282"/>
      <c r="M167" s="271"/>
      <c r="N167" s="237"/>
    </row>
    <row r="168" spans="1:14" ht="14.25" customHeight="1" x14ac:dyDescent="0.25">
      <c r="A168" s="234"/>
      <c r="B168" s="252" t="s">
        <v>522</v>
      </c>
      <c r="C168" s="253" t="s">
        <v>429</v>
      </c>
      <c r="D168" s="254" t="s">
        <v>382</v>
      </c>
      <c r="E168" s="254" t="s">
        <v>383</v>
      </c>
      <c r="F168" s="255">
        <v>17.21</v>
      </c>
      <c r="G168" s="256" t="s">
        <v>375</v>
      </c>
      <c r="H168" s="256" t="s">
        <v>375</v>
      </c>
      <c r="I168" s="269">
        <v>2</v>
      </c>
      <c r="J168" s="258">
        <f t="shared" si="15"/>
        <v>34.42</v>
      </c>
      <c r="K168" s="235"/>
      <c r="L168" s="282"/>
      <c r="M168" s="271"/>
      <c r="N168" s="237"/>
    </row>
    <row r="169" spans="1:14" ht="14.25" customHeight="1" x14ac:dyDescent="0.25">
      <c r="A169" s="234"/>
      <c r="B169" s="252" t="s">
        <v>522</v>
      </c>
      <c r="C169" s="253" t="s">
        <v>523</v>
      </c>
      <c r="D169" s="254" t="s">
        <v>517</v>
      </c>
      <c r="E169" s="254" t="s">
        <v>383</v>
      </c>
      <c r="F169" s="255">
        <v>13.96</v>
      </c>
      <c r="G169" s="256" t="s">
        <v>375</v>
      </c>
      <c r="H169" s="256" t="s">
        <v>375</v>
      </c>
      <c r="I169" s="269">
        <v>4</v>
      </c>
      <c r="J169" s="258">
        <f t="shared" si="15"/>
        <v>55.84</v>
      </c>
      <c r="K169" s="235"/>
      <c r="L169" s="282"/>
      <c r="M169" s="271"/>
      <c r="N169" s="237"/>
    </row>
    <row r="170" spans="1:14" ht="14.25" customHeight="1" x14ac:dyDescent="0.25">
      <c r="A170" s="234"/>
      <c r="B170" s="252" t="s">
        <v>522</v>
      </c>
      <c r="C170" s="253" t="s">
        <v>524</v>
      </c>
      <c r="D170" s="254" t="s">
        <v>517</v>
      </c>
      <c r="E170" s="254" t="s">
        <v>383</v>
      </c>
      <c r="F170" s="255">
        <f>10.97+18*1.4*0.175</f>
        <v>15.379999999999999</v>
      </c>
      <c r="G170" s="256" t="s">
        <v>375</v>
      </c>
      <c r="H170" s="256" t="s">
        <v>217</v>
      </c>
      <c r="I170" s="269">
        <v>4</v>
      </c>
      <c r="J170" s="258">
        <f t="shared" si="15"/>
        <v>61.519999999999996</v>
      </c>
      <c r="K170" s="235"/>
      <c r="L170" s="282"/>
      <c r="M170" s="271"/>
      <c r="N170" s="237"/>
    </row>
    <row r="171" spans="1:14" ht="14.25" customHeight="1" x14ac:dyDescent="0.25">
      <c r="A171" s="234"/>
      <c r="B171" s="252" t="s">
        <v>522</v>
      </c>
      <c r="C171" s="253" t="s">
        <v>525</v>
      </c>
      <c r="D171" s="254" t="s">
        <v>435</v>
      </c>
      <c r="E171" s="254" t="s">
        <v>383</v>
      </c>
      <c r="F171" s="255">
        <v>25.58</v>
      </c>
      <c r="G171" s="256" t="s">
        <v>375</v>
      </c>
      <c r="H171" s="256" t="s">
        <v>375</v>
      </c>
      <c r="I171" s="269">
        <v>4</v>
      </c>
      <c r="J171" s="258">
        <f t="shared" si="15"/>
        <v>102.32</v>
      </c>
      <c r="K171" s="235"/>
      <c r="L171" s="282"/>
      <c r="M171" s="271"/>
      <c r="N171" s="237"/>
    </row>
    <row r="172" spans="1:14" ht="14.25" customHeight="1" x14ac:dyDescent="0.25">
      <c r="A172" s="234"/>
      <c r="B172" s="252" t="s">
        <v>522</v>
      </c>
      <c r="C172" s="253" t="s">
        <v>526</v>
      </c>
      <c r="D172" s="254" t="s">
        <v>435</v>
      </c>
      <c r="E172" s="254" t="s">
        <v>383</v>
      </c>
      <c r="F172" s="255">
        <f>13.44+9.07+23.83</f>
        <v>46.339999999999996</v>
      </c>
      <c r="G172" s="256" t="s">
        <v>375</v>
      </c>
      <c r="H172" s="256" t="s">
        <v>375</v>
      </c>
      <c r="I172" s="269">
        <v>4</v>
      </c>
      <c r="J172" s="258">
        <f t="shared" si="15"/>
        <v>185.35999999999999</v>
      </c>
      <c r="K172" s="235"/>
      <c r="L172" s="282"/>
      <c r="M172" s="271"/>
      <c r="N172" s="237"/>
    </row>
    <row r="173" spans="1:14" ht="14.25" customHeight="1" x14ac:dyDescent="0.25">
      <c r="A173" s="234"/>
      <c r="B173" s="252" t="s">
        <v>522</v>
      </c>
      <c r="C173" s="253" t="s">
        <v>493</v>
      </c>
      <c r="D173" s="254" t="s">
        <v>517</v>
      </c>
      <c r="E173" s="254" t="s">
        <v>383</v>
      </c>
      <c r="F173" s="255">
        <f>4.55+3.24+3.56+8.69</f>
        <v>20.04</v>
      </c>
      <c r="G173" s="256" t="s">
        <v>375</v>
      </c>
      <c r="H173" s="256" t="s">
        <v>375</v>
      </c>
      <c r="I173" s="269">
        <v>4</v>
      </c>
      <c r="J173" s="258">
        <f t="shared" si="15"/>
        <v>80.16</v>
      </c>
      <c r="K173" s="235"/>
      <c r="L173" s="282"/>
      <c r="M173" s="271"/>
      <c r="N173" s="237"/>
    </row>
    <row r="174" spans="1:14" ht="14.25" customHeight="1" x14ac:dyDescent="0.25">
      <c r="A174" s="234"/>
      <c r="B174" s="252" t="s">
        <v>522</v>
      </c>
      <c r="C174" s="253" t="s">
        <v>512</v>
      </c>
      <c r="D174" s="254" t="s">
        <v>517</v>
      </c>
      <c r="E174" s="254" t="s">
        <v>383</v>
      </c>
      <c r="F174" s="255">
        <v>9.01</v>
      </c>
      <c r="G174" s="256" t="s">
        <v>375</v>
      </c>
      <c r="H174" s="256" t="s">
        <v>217</v>
      </c>
      <c r="I174" s="269">
        <v>4</v>
      </c>
      <c r="J174" s="258">
        <f t="shared" si="15"/>
        <v>36.04</v>
      </c>
      <c r="K174" s="235"/>
      <c r="L174" s="282"/>
      <c r="M174" s="271"/>
      <c r="N174" s="237"/>
    </row>
    <row r="175" spans="1:14" ht="14.25" customHeight="1" x14ac:dyDescent="0.25">
      <c r="A175" s="234"/>
      <c r="B175" s="252" t="s">
        <v>522</v>
      </c>
      <c r="C175" s="253" t="s">
        <v>527</v>
      </c>
      <c r="D175" s="254" t="s">
        <v>517</v>
      </c>
      <c r="E175" s="254" t="s">
        <v>217</v>
      </c>
      <c r="F175" s="255">
        <v>1.39</v>
      </c>
      <c r="G175" s="256" t="s">
        <v>375</v>
      </c>
      <c r="H175" s="256" t="s">
        <v>217</v>
      </c>
      <c r="I175" s="269">
        <v>4</v>
      </c>
      <c r="J175" s="258">
        <f t="shared" si="15"/>
        <v>5.56</v>
      </c>
      <c r="K175" s="235"/>
      <c r="L175" s="282"/>
      <c r="M175" s="271"/>
      <c r="N175" s="237"/>
    </row>
    <row r="176" spans="1:14" ht="14.25" customHeight="1" x14ac:dyDescent="0.25">
      <c r="A176" s="234"/>
      <c r="B176" s="252" t="s">
        <v>522</v>
      </c>
      <c r="C176" s="253" t="s">
        <v>528</v>
      </c>
      <c r="D176" s="254" t="s">
        <v>217</v>
      </c>
      <c r="E176" s="254" t="s">
        <v>217</v>
      </c>
      <c r="F176" s="255">
        <v>3.16</v>
      </c>
      <c r="G176" s="256" t="s">
        <v>375</v>
      </c>
      <c r="H176" s="256" t="s">
        <v>217</v>
      </c>
      <c r="I176" s="269">
        <v>4</v>
      </c>
      <c r="J176" s="258">
        <f t="shared" si="15"/>
        <v>12.64</v>
      </c>
      <c r="K176" s="235"/>
      <c r="L176" s="282"/>
      <c r="M176" s="271"/>
      <c r="N176" s="237"/>
    </row>
    <row r="177" spans="1:14" ht="14.25" customHeight="1" x14ac:dyDescent="0.25">
      <c r="A177" s="234"/>
      <c r="B177" s="252" t="s">
        <v>529</v>
      </c>
      <c r="C177" s="253" t="s">
        <v>520</v>
      </c>
      <c r="D177" s="254" t="s">
        <v>382</v>
      </c>
      <c r="E177" s="254" t="s">
        <v>432</v>
      </c>
      <c r="F177" s="255">
        <v>6.3</v>
      </c>
      <c r="G177" s="256" t="s">
        <v>375</v>
      </c>
      <c r="H177" s="256" t="s">
        <v>217</v>
      </c>
      <c r="I177" s="269">
        <v>2</v>
      </c>
      <c r="J177" s="258">
        <f t="shared" si="15"/>
        <v>12.6</v>
      </c>
      <c r="K177" s="235"/>
      <c r="L177" s="282"/>
      <c r="M177" s="271"/>
      <c r="N177" s="237"/>
    </row>
    <row r="178" spans="1:14" ht="14.25" customHeight="1" x14ac:dyDescent="0.25">
      <c r="A178" s="234"/>
      <c r="B178" s="252" t="s">
        <v>529</v>
      </c>
      <c r="C178" s="253" t="s">
        <v>521</v>
      </c>
      <c r="D178" s="254" t="s">
        <v>382</v>
      </c>
      <c r="E178" s="254" t="s">
        <v>193</v>
      </c>
      <c r="F178" s="255">
        <f>17.3+20*1.25*0.175</f>
        <v>21.675000000000001</v>
      </c>
      <c r="G178" s="256" t="s">
        <v>375</v>
      </c>
      <c r="H178" s="256" t="s">
        <v>217</v>
      </c>
      <c r="I178" s="269">
        <v>2</v>
      </c>
      <c r="J178" s="258">
        <f t="shared" si="15"/>
        <v>43.35</v>
      </c>
      <c r="K178" s="235"/>
      <c r="L178" s="282"/>
      <c r="M178" s="271"/>
      <c r="N178" s="237"/>
    </row>
    <row r="179" spans="1:14" ht="14.25" customHeight="1" x14ac:dyDescent="0.25">
      <c r="A179" s="234"/>
      <c r="B179" s="252" t="s">
        <v>529</v>
      </c>
      <c r="C179" s="253" t="s">
        <v>429</v>
      </c>
      <c r="D179" s="254" t="s">
        <v>382</v>
      </c>
      <c r="E179" s="254" t="s">
        <v>383</v>
      </c>
      <c r="F179" s="255">
        <v>14.59</v>
      </c>
      <c r="G179" s="256" t="s">
        <v>375</v>
      </c>
      <c r="H179" s="256" t="s">
        <v>375</v>
      </c>
      <c r="I179" s="269">
        <v>2</v>
      </c>
      <c r="J179" s="258">
        <f t="shared" si="15"/>
        <v>29.18</v>
      </c>
      <c r="K179" s="235"/>
      <c r="L179" s="282"/>
      <c r="M179" s="271"/>
      <c r="N179" s="237"/>
    </row>
    <row r="180" spans="1:14" ht="14.25" customHeight="1" x14ac:dyDescent="0.25">
      <c r="A180" s="234"/>
      <c r="B180" s="252" t="s">
        <v>529</v>
      </c>
      <c r="C180" s="253" t="s">
        <v>511</v>
      </c>
      <c r="D180" s="254" t="s">
        <v>517</v>
      </c>
      <c r="E180" s="254" t="s">
        <v>383</v>
      </c>
      <c r="F180" s="255">
        <f>43.95</f>
        <v>43.95</v>
      </c>
      <c r="G180" s="256" t="s">
        <v>375</v>
      </c>
      <c r="H180" s="256" t="s">
        <v>375</v>
      </c>
      <c r="I180" s="269">
        <v>4</v>
      </c>
      <c r="J180" s="258">
        <f t="shared" si="15"/>
        <v>175.8</v>
      </c>
      <c r="K180" s="235"/>
      <c r="L180" s="282"/>
      <c r="M180" s="271"/>
      <c r="N180" s="237"/>
    </row>
    <row r="181" spans="1:14" ht="14.25" customHeight="1" x14ac:dyDescent="0.25">
      <c r="A181" s="234"/>
      <c r="B181" s="252" t="s">
        <v>529</v>
      </c>
      <c r="C181" s="253" t="s">
        <v>430</v>
      </c>
      <c r="D181" s="254" t="s">
        <v>517</v>
      </c>
      <c r="E181" s="254" t="s">
        <v>383</v>
      </c>
      <c r="F181" s="255">
        <v>9.51</v>
      </c>
      <c r="G181" s="256" t="s">
        <v>375</v>
      </c>
      <c r="H181" s="256" t="s">
        <v>375</v>
      </c>
      <c r="I181" s="269">
        <v>4</v>
      </c>
      <c r="J181" s="258">
        <f t="shared" si="15"/>
        <v>38.04</v>
      </c>
      <c r="K181" s="235"/>
      <c r="L181" s="282"/>
      <c r="M181" s="271"/>
      <c r="N181" s="237"/>
    </row>
    <row r="182" spans="1:14" ht="14.25" customHeight="1" x14ac:dyDescent="0.25">
      <c r="A182" s="234"/>
      <c r="B182" s="252" t="s">
        <v>529</v>
      </c>
      <c r="C182" s="253" t="s">
        <v>530</v>
      </c>
      <c r="D182" s="254" t="s">
        <v>517</v>
      </c>
      <c r="E182" s="254" t="s">
        <v>383</v>
      </c>
      <c r="F182" s="255">
        <v>5.42</v>
      </c>
      <c r="G182" s="256" t="s">
        <v>375</v>
      </c>
      <c r="H182" s="256" t="s">
        <v>375</v>
      </c>
      <c r="I182" s="269">
        <v>4</v>
      </c>
      <c r="J182" s="258">
        <f t="shared" si="15"/>
        <v>21.68</v>
      </c>
      <c r="K182" s="235"/>
      <c r="L182" s="282"/>
      <c r="M182" s="271"/>
      <c r="N182" s="237"/>
    </row>
    <row r="183" spans="1:14" ht="14.25" customHeight="1" x14ac:dyDescent="0.25">
      <c r="A183" s="234"/>
      <c r="B183" s="252" t="s">
        <v>529</v>
      </c>
      <c r="C183" s="253" t="s">
        <v>513</v>
      </c>
      <c r="D183" s="254" t="s">
        <v>217</v>
      </c>
      <c r="E183" s="254" t="s">
        <v>383</v>
      </c>
      <c r="F183" s="255">
        <v>1.92</v>
      </c>
      <c r="G183" s="256" t="s">
        <v>375</v>
      </c>
      <c r="H183" s="256" t="s">
        <v>375</v>
      </c>
      <c r="I183" s="269">
        <v>4</v>
      </c>
      <c r="J183" s="258">
        <f t="shared" si="15"/>
        <v>7.68</v>
      </c>
      <c r="K183" s="235"/>
      <c r="L183" s="282"/>
      <c r="M183" s="271"/>
      <c r="N183" s="237"/>
    </row>
    <row r="184" spans="1:14" ht="14.25" customHeight="1" x14ac:dyDescent="0.25">
      <c r="A184" s="234"/>
      <c r="B184" s="252" t="s">
        <v>529</v>
      </c>
      <c r="C184" s="253" t="s">
        <v>531</v>
      </c>
      <c r="D184" s="254" t="s">
        <v>517</v>
      </c>
      <c r="E184" s="254" t="s">
        <v>217</v>
      </c>
      <c r="F184" s="255">
        <v>26.34</v>
      </c>
      <c r="G184" s="256" t="s">
        <v>375</v>
      </c>
      <c r="H184" s="256" t="s">
        <v>375</v>
      </c>
      <c r="I184" s="269">
        <v>4</v>
      </c>
      <c r="J184" s="258">
        <f t="shared" si="15"/>
        <v>105.36</v>
      </c>
      <c r="K184" s="235"/>
      <c r="L184" s="282"/>
      <c r="M184" s="271"/>
      <c r="N184" s="237"/>
    </row>
    <row r="185" spans="1:14" ht="14.25" customHeight="1" x14ac:dyDescent="0.25">
      <c r="A185" s="234"/>
      <c r="B185" s="252" t="s">
        <v>529</v>
      </c>
      <c r="C185" s="253" t="s">
        <v>515</v>
      </c>
      <c r="D185" s="254" t="s">
        <v>517</v>
      </c>
      <c r="E185" s="254" t="s">
        <v>383</v>
      </c>
      <c r="F185" s="255">
        <v>3.56</v>
      </c>
      <c r="G185" s="256" t="s">
        <v>375</v>
      </c>
      <c r="H185" s="256" t="s">
        <v>375</v>
      </c>
      <c r="I185" s="269">
        <v>4</v>
      </c>
      <c r="J185" s="258">
        <f t="shared" si="15"/>
        <v>14.24</v>
      </c>
      <c r="K185" s="235"/>
      <c r="L185" s="282"/>
      <c r="M185" s="271"/>
      <c r="N185" s="237"/>
    </row>
    <row r="186" spans="1:14" ht="14.25" customHeight="1" x14ac:dyDescent="0.25">
      <c r="A186" s="234"/>
      <c r="B186" s="252" t="s">
        <v>529</v>
      </c>
      <c r="C186" s="253" t="s">
        <v>532</v>
      </c>
      <c r="D186" s="254" t="s">
        <v>517</v>
      </c>
      <c r="E186" s="254" t="s">
        <v>217</v>
      </c>
      <c r="F186" s="255">
        <f>4.88+8*1.1*0.17</f>
        <v>6.3760000000000003</v>
      </c>
      <c r="G186" s="256" t="s">
        <v>375</v>
      </c>
      <c r="H186" s="256" t="s">
        <v>217</v>
      </c>
      <c r="I186" s="269">
        <v>4</v>
      </c>
      <c r="J186" s="258">
        <f t="shared" si="15"/>
        <v>25.504000000000001</v>
      </c>
      <c r="K186" s="235"/>
      <c r="L186" s="282"/>
      <c r="M186" s="271"/>
      <c r="N186" s="237"/>
    </row>
    <row r="187" spans="1:14" ht="14.25" customHeight="1" x14ac:dyDescent="0.25">
      <c r="A187" s="234"/>
      <c r="B187" s="252" t="s">
        <v>529</v>
      </c>
      <c r="C187" s="253" t="s">
        <v>210</v>
      </c>
      <c r="D187" s="254" t="s">
        <v>533</v>
      </c>
      <c r="E187" s="254" t="s">
        <v>217</v>
      </c>
      <c r="F187" s="255">
        <f>13.09+16.46*1.3</f>
        <v>34.488</v>
      </c>
      <c r="G187" s="256" t="s">
        <v>375</v>
      </c>
      <c r="H187" s="256" t="s">
        <v>217</v>
      </c>
      <c r="I187" s="269">
        <v>4</v>
      </c>
      <c r="J187" s="258">
        <f t="shared" si="15"/>
        <v>137.952</v>
      </c>
      <c r="K187" s="235"/>
      <c r="L187" s="282"/>
      <c r="M187" s="271"/>
      <c r="N187" s="237"/>
    </row>
    <row r="188" spans="1:14" ht="14.25" customHeight="1" x14ac:dyDescent="0.25">
      <c r="A188" s="234"/>
      <c r="B188" s="252" t="s">
        <v>529</v>
      </c>
      <c r="C188" s="253" t="s">
        <v>528</v>
      </c>
      <c r="D188" s="254" t="s">
        <v>217</v>
      </c>
      <c r="E188" s="254" t="s">
        <v>217</v>
      </c>
      <c r="F188" s="255">
        <v>3.04</v>
      </c>
      <c r="G188" s="256" t="s">
        <v>375</v>
      </c>
      <c r="H188" s="256" t="s">
        <v>217</v>
      </c>
      <c r="I188" s="269">
        <v>4</v>
      </c>
      <c r="J188" s="258">
        <f t="shared" si="15"/>
        <v>12.16</v>
      </c>
      <c r="K188" s="235"/>
      <c r="L188" s="282"/>
      <c r="M188" s="271"/>
      <c r="N188" s="237"/>
    </row>
    <row r="189" spans="1:14" ht="14.25" customHeight="1" x14ac:dyDescent="0.25">
      <c r="A189" s="234"/>
      <c r="B189" s="252" t="s">
        <v>534</v>
      </c>
      <c r="C189" s="253" t="s">
        <v>535</v>
      </c>
      <c r="D189" s="254" t="s">
        <v>382</v>
      </c>
      <c r="E189" s="254" t="s">
        <v>217</v>
      </c>
      <c r="F189" s="255">
        <v>90.2</v>
      </c>
      <c r="G189" s="256" t="s">
        <v>375</v>
      </c>
      <c r="H189" s="256" t="s">
        <v>217</v>
      </c>
      <c r="I189" s="269">
        <v>2</v>
      </c>
      <c r="J189" s="268">
        <f t="shared" si="15"/>
        <v>180.4</v>
      </c>
      <c r="K189" s="235"/>
      <c r="L189" s="282"/>
      <c r="M189" s="271"/>
      <c r="N189" s="237"/>
    </row>
    <row r="190" spans="1:14" ht="14.25" customHeight="1" x14ac:dyDescent="0.25">
      <c r="A190" s="234"/>
      <c r="B190" s="252" t="s">
        <v>534</v>
      </c>
      <c r="C190" s="253" t="s">
        <v>536</v>
      </c>
      <c r="D190" s="254" t="s">
        <v>382</v>
      </c>
      <c r="E190" s="254" t="s">
        <v>432</v>
      </c>
      <c r="F190" s="255">
        <v>14.97</v>
      </c>
      <c r="G190" s="256" t="s">
        <v>375</v>
      </c>
      <c r="H190" s="256" t="s">
        <v>217</v>
      </c>
      <c r="I190" s="269">
        <v>2</v>
      </c>
      <c r="J190" s="268">
        <f t="shared" si="15"/>
        <v>29.94</v>
      </c>
      <c r="K190" s="235"/>
      <c r="L190" s="282"/>
      <c r="M190" s="271"/>
      <c r="N190" s="237"/>
    </row>
    <row r="191" spans="1:14" ht="14.25" customHeight="1" x14ac:dyDescent="0.25">
      <c r="A191" s="234"/>
      <c r="B191" s="252" t="s">
        <v>534</v>
      </c>
      <c r="C191" s="253" t="s">
        <v>520</v>
      </c>
      <c r="D191" s="254" t="s">
        <v>382</v>
      </c>
      <c r="E191" s="254" t="s">
        <v>432</v>
      </c>
      <c r="F191" s="255">
        <v>6.3</v>
      </c>
      <c r="G191" s="256" t="s">
        <v>375</v>
      </c>
      <c r="H191" s="256" t="s">
        <v>217</v>
      </c>
      <c r="I191" s="269">
        <v>2</v>
      </c>
      <c r="J191" s="268">
        <f t="shared" si="15"/>
        <v>12.6</v>
      </c>
      <c r="K191" s="235"/>
      <c r="L191" s="282"/>
      <c r="M191" s="271"/>
      <c r="N191" s="237"/>
    </row>
    <row r="192" spans="1:14" ht="14.25" customHeight="1" x14ac:dyDescent="0.25">
      <c r="A192" s="234"/>
      <c r="B192" s="252" t="s">
        <v>534</v>
      </c>
      <c r="C192" s="253" t="s">
        <v>521</v>
      </c>
      <c r="D192" s="254" t="s">
        <v>382</v>
      </c>
      <c r="E192" s="254" t="s">
        <v>193</v>
      </c>
      <c r="F192" s="255">
        <f>17.3+20*1.25*0.175</f>
        <v>21.675000000000001</v>
      </c>
      <c r="G192" s="256" t="s">
        <v>375</v>
      </c>
      <c r="H192" s="256" t="s">
        <v>217</v>
      </c>
      <c r="I192" s="269">
        <v>2</v>
      </c>
      <c r="J192" s="268">
        <f t="shared" si="15"/>
        <v>43.35</v>
      </c>
      <c r="K192" s="235"/>
      <c r="L192" s="282"/>
      <c r="M192" s="271"/>
      <c r="N192" s="237"/>
    </row>
    <row r="193" spans="1:14" ht="14.25" customHeight="1" x14ac:dyDescent="0.25">
      <c r="A193" s="234"/>
      <c r="B193" s="252" t="s">
        <v>537</v>
      </c>
      <c r="C193" s="253" t="s">
        <v>520</v>
      </c>
      <c r="D193" s="254" t="s">
        <v>382</v>
      </c>
      <c r="E193" s="254" t="s">
        <v>432</v>
      </c>
      <c r="F193" s="255">
        <v>6.3</v>
      </c>
      <c r="G193" s="256" t="s">
        <v>375</v>
      </c>
      <c r="H193" s="256" t="s">
        <v>217</v>
      </c>
      <c r="I193" s="269">
        <v>2</v>
      </c>
      <c r="J193" s="268">
        <f t="shared" si="15"/>
        <v>12.6</v>
      </c>
      <c r="K193" s="235"/>
      <c r="L193" s="282"/>
      <c r="M193" s="271"/>
      <c r="N193" s="237"/>
    </row>
    <row r="194" spans="1:14" ht="14.25" customHeight="1" x14ac:dyDescent="0.25">
      <c r="A194" s="234"/>
      <c r="B194" s="252" t="s">
        <v>537</v>
      </c>
      <c r="C194" s="253" t="s">
        <v>521</v>
      </c>
      <c r="D194" s="254" t="s">
        <v>382</v>
      </c>
      <c r="E194" s="254" t="s">
        <v>193</v>
      </c>
      <c r="F194" s="255">
        <f>17.3+20*1.25*0.175</f>
        <v>21.675000000000001</v>
      </c>
      <c r="G194" s="256" t="s">
        <v>375</v>
      </c>
      <c r="H194" s="256" t="s">
        <v>217</v>
      </c>
      <c r="I194" s="269">
        <v>2</v>
      </c>
      <c r="J194" s="268">
        <f t="shared" si="15"/>
        <v>43.35</v>
      </c>
      <c r="K194" s="235"/>
      <c r="L194" s="282"/>
      <c r="M194" s="271"/>
      <c r="N194" s="237"/>
    </row>
    <row r="195" spans="1:14" ht="14.25" customHeight="1" x14ac:dyDescent="0.25">
      <c r="A195" s="234"/>
      <c r="B195" s="252" t="s">
        <v>537</v>
      </c>
      <c r="C195" s="253" t="s">
        <v>538</v>
      </c>
      <c r="D195" s="254" t="s">
        <v>382</v>
      </c>
      <c r="E195" s="254" t="s">
        <v>432</v>
      </c>
      <c r="F195" s="255">
        <v>14.58</v>
      </c>
      <c r="G195" s="256" t="s">
        <v>375</v>
      </c>
      <c r="H195" s="256" t="s">
        <v>217</v>
      </c>
      <c r="I195" s="269">
        <v>2</v>
      </c>
      <c r="J195" s="268">
        <f t="shared" si="15"/>
        <v>29.16</v>
      </c>
      <c r="K195" s="235"/>
      <c r="L195" s="282"/>
      <c r="M195" s="271"/>
      <c r="N195" s="237"/>
    </row>
    <row r="196" spans="1:14" ht="14.25" customHeight="1" x14ac:dyDescent="0.25">
      <c r="A196" s="234"/>
      <c r="B196" s="252" t="s">
        <v>537</v>
      </c>
      <c r="C196" s="253" t="s">
        <v>539</v>
      </c>
      <c r="D196" s="254" t="s">
        <v>382</v>
      </c>
      <c r="E196" s="254" t="s">
        <v>432</v>
      </c>
      <c r="F196" s="255">
        <v>14.97</v>
      </c>
      <c r="G196" s="256" t="s">
        <v>375</v>
      </c>
      <c r="H196" s="256" t="s">
        <v>217</v>
      </c>
      <c r="I196" s="269">
        <v>2</v>
      </c>
      <c r="J196" s="268">
        <f t="shared" si="15"/>
        <v>29.94</v>
      </c>
      <c r="K196" s="235"/>
      <c r="L196" s="282"/>
      <c r="M196" s="271"/>
      <c r="N196" s="237"/>
    </row>
    <row r="197" spans="1:14" ht="14.25" customHeight="1" x14ac:dyDescent="0.25">
      <c r="A197" s="234"/>
      <c r="B197" s="252" t="s">
        <v>537</v>
      </c>
      <c r="C197" s="253" t="s">
        <v>540</v>
      </c>
      <c r="D197" s="254" t="s">
        <v>382</v>
      </c>
      <c r="E197" s="254" t="s">
        <v>217</v>
      </c>
      <c r="F197" s="255">
        <v>9.08</v>
      </c>
      <c r="G197" s="256" t="s">
        <v>375</v>
      </c>
      <c r="H197" s="256" t="s">
        <v>217</v>
      </c>
      <c r="I197" s="269">
        <v>2</v>
      </c>
      <c r="J197" s="268">
        <f t="shared" si="15"/>
        <v>18.16</v>
      </c>
      <c r="K197" s="235"/>
      <c r="L197" s="282"/>
      <c r="M197" s="271"/>
      <c r="N197" s="237"/>
    </row>
    <row r="198" spans="1:14" ht="14.25" customHeight="1" x14ac:dyDescent="0.25">
      <c r="A198" s="234"/>
      <c r="B198" s="252" t="s">
        <v>541</v>
      </c>
      <c r="C198" s="253" t="s">
        <v>542</v>
      </c>
      <c r="D198" s="254" t="s">
        <v>217</v>
      </c>
      <c r="E198" s="254" t="s">
        <v>217</v>
      </c>
      <c r="F198" s="255">
        <v>59.73</v>
      </c>
      <c r="G198" s="256" t="s">
        <v>376</v>
      </c>
      <c r="H198" s="256" t="s">
        <v>217</v>
      </c>
      <c r="I198" s="269">
        <v>2</v>
      </c>
      <c r="J198" s="268">
        <f t="shared" si="15"/>
        <v>119.46</v>
      </c>
      <c r="K198" s="235"/>
      <c r="L198" s="282"/>
      <c r="M198" s="271"/>
      <c r="N198" s="237"/>
    </row>
    <row r="199" spans="1:14" ht="14.25" customHeight="1" x14ac:dyDescent="0.25">
      <c r="A199" s="234"/>
      <c r="B199" s="252"/>
      <c r="C199" s="253"/>
      <c r="D199" s="254"/>
      <c r="E199" s="254"/>
      <c r="F199" s="255"/>
      <c r="G199" s="256"/>
      <c r="H199" s="256"/>
      <c r="I199" s="269"/>
      <c r="J199" s="268"/>
      <c r="K199" s="235"/>
      <c r="L199" s="282"/>
      <c r="M199" s="271"/>
      <c r="N199" s="237"/>
    </row>
    <row r="200" spans="1:14" ht="14.25" customHeight="1" x14ac:dyDescent="0.25">
      <c r="A200" s="234"/>
      <c r="B200" s="252"/>
      <c r="C200" s="253"/>
      <c r="D200" s="254"/>
      <c r="E200" s="254"/>
      <c r="F200" s="255"/>
      <c r="G200" s="256"/>
      <c r="H200" s="256"/>
      <c r="I200" s="269"/>
      <c r="J200" s="268"/>
      <c r="K200" s="235"/>
      <c r="L200" s="282"/>
      <c r="M200" s="271"/>
      <c r="N200" s="237"/>
    </row>
    <row r="201" spans="1:14" ht="14.25" customHeight="1" x14ac:dyDescent="0.25">
      <c r="A201" s="234"/>
      <c r="B201" s="252"/>
      <c r="C201" s="253"/>
      <c r="D201" s="254"/>
      <c r="E201" s="254"/>
      <c r="F201" s="255"/>
      <c r="G201" s="256"/>
      <c r="H201" s="256"/>
      <c r="I201" s="269"/>
      <c r="J201" s="268"/>
      <c r="K201" s="235"/>
      <c r="M201" s="271"/>
      <c r="N201" s="237"/>
    </row>
    <row r="202" spans="1:14" ht="14.25" customHeight="1" thickBot="1" x14ac:dyDescent="0.3">
      <c r="A202" s="235"/>
      <c r="B202" s="272"/>
      <c r="C202" s="273"/>
      <c r="D202" s="274"/>
      <c r="E202" s="274"/>
      <c r="F202" s="275"/>
      <c r="G202" s="276"/>
      <c r="H202" s="276"/>
      <c r="I202" s="277"/>
      <c r="J202" s="270"/>
      <c r="K202" s="235"/>
      <c r="M202" s="271"/>
      <c r="N202" s="235"/>
    </row>
    <row r="203" spans="1:14" ht="14.25" customHeight="1" x14ac:dyDescent="0.25">
      <c r="A203" s="235"/>
      <c r="F203" s="271"/>
      <c r="I203" s="271"/>
      <c r="J203" s="271"/>
      <c r="K203" s="235"/>
      <c r="M203" s="271"/>
      <c r="N203" s="235"/>
    </row>
    <row r="204" spans="1:14" ht="14.25" customHeight="1" x14ac:dyDescent="0.25">
      <c r="A204" s="235"/>
      <c r="F204" s="271"/>
      <c r="I204" s="271"/>
      <c r="J204" s="271"/>
      <c r="K204" s="235"/>
      <c r="M204" s="271"/>
      <c r="N204" s="235"/>
    </row>
    <row r="205" spans="1:14" ht="14.25" customHeight="1" x14ac:dyDescent="0.25">
      <c r="A205" s="235"/>
      <c r="F205" s="271"/>
      <c r="I205" s="271"/>
      <c r="J205" s="271"/>
      <c r="K205" s="235"/>
      <c r="M205" s="271"/>
      <c r="N205" s="235"/>
    </row>
    <row r="206" spans="1:14" ht="14.25" customHeight="1" x14ac:dyDescent="0.25">
      <c r="A206" s="235"/>
      <c r="F206" s="271"/>
      <c r="I206" s="271"/>
      <c r="J206" s="271"/>
      <c r="K206" s="235"/>
      <c r="M206" s="271"/>
      <c r="N206" s="235"/>
    </row>
    <row r="207" spans="1:14" ht="14.25" customHeight="1" x14ac:dyDescent="0.25">
      <c r="A207" s="235"/>
      <c r="F207" s="271"/>
      <c r="I207" s="271"/>
      <c r="J207" s="271"/>
      <c r="K207" s="235"/>
      <c r="M207" s="271"/>
      <c r="N207" s="235"/>
    </row>
    <row r="208" spans="1:14" ht="14.25" customHeight="1" x14ac:dyDescent="0.25">
      <c r="A208" s="235"/>
      <c r="F208" s="271"/>
      <c r="I208" s="271"/>
      <c r="J208" s="271"/>
      <c r="K208" s="235"/>
      <c r="M208" s="271"/>
      <c r="N208" s="235"/>
    </row>
    <row r="209" spans="1:14" ht="14.25" customHeight="1" x14ac:dyDescent="0.25">
      <c r="A209" s="235"/>
      <c r="F209" s="271"/>
      <c r="I209" s="271"/>
      <c r="J209" s="271"/>
      <c r="K209" s="235"/>
      <c r="M209" s="271"/>
      <c r="N209" s="235"/>
    </row>
    <row r="210" spans="1:14" ht="14.25" customHeight="1" x14ac:dyDescent="0.25">
      <c r="A210" s="235"/>
      <c r="F210" s="271"/>
      <c r="I210" s="271"/>
      <c r="J210" s="271"/>
      <c r="K210" s="235"/>
      <c r="M210" s="271"/>
      <c r="N210" s="235"/>
    </row>
    <row r="211" spans="1:14" ht="14.25" customHeight="1" x14ac:dyDescent="0.25">
      <c r="A211" s="235"/>
      <c r="F211" s="271"/>
      <c r="I211" s="271"/>
      <c r="J211" s="271"/>
      <c r="K211" s="235"/>
      <c r="M211" s="271"/>
      <c r="N211" s="235"/>
    </row>
    <row r="212" spans="1:14" ht="14.25" customHeight="1" x14ac:dyDescent="0.25">
      <c r="A212" s="235"/>
      <c r="F212" s="271"/>
      <c r="I212" s="271"/>
      <c r="J212" s="271"/>
      <c r="K212" s="235"/>
      <c r="M212" s="271"/>
      <c r="N212" s="235"/>
    </row>
    <row r="213" spans="1:14" ht="14.25" customHeight="1" x14ac:dyDescent="0.25">
      <c r="A213" s="235"/>
      <c r="F213" s="271"/>
      <c r="I213" s="271"/>
      <c r="J213" s="271"/>
      <c r="K213" s="235"/>
      <c r="M213" s="271"/>
      <c r="N213" s="235"/>
    </row>
    <row r="214" spans="1:14" ht="14.25" customHeight="1" x14ac:dyDescent="0.25">
      <c r="A214" s="235"/>
      <c r="F214" s="271"/>
      <c r="I214" s="271"/>
      <c r="J214" s="271"/>
      <c r="K214" s="235"/>
      <c r="M214" s="271"/>
      <c r="N214" s="235"/>
    </row>
    <row r="215" spans="1:14" ht="14.25" customHeight="1" x14ac:dyDescent="0.25">
      <c r="A215" s="235"/>
      <c r="F215" s="271"/>
      <c r="I215" s="271"/>
      <c r="J215" s="271"/>
      <c r="K215" s="235"/>
      <c r="M215" s="271"/>
      <c r="N215" s="235"/>
    </row>
    <row r="216" spans="1:14" ht="14.25" customHeight="1" x14ac:dyDescent="0.25">
      <c r="A216" s="235"/>
      <c r="F216" s="271"/>
      <c r="I216" s="271"/>
      <c r="J216" s="271"/>
      <c r="K216" s="235"/>
      <c r="M216" s="271"/>
      <c r="N216" s="235"/>
    </row>
    <row r="217" spans="1:14" ht="14.25" customHeight="1" x14ac:dyDescent="0.25">
      <c r="A217" s="235"/>
      <c r="F217" s="271"/>
      <c r="I217" s="271"/>
      <c r="J217" s="271"/>
      <c r="K217" s="235"/>
      <c r="M217" s="271"/>
      <c r="N217" s="235"/>
    </row>
    <row r="218" spans="1:14" ht="14.25" customHeight="1" x14ac:dyDescent="0.25">
      <c r="A218" s="235"/>
      <c r="F218" s="271"/>
      <c r="I218" s="271"/>
      <c r="J218" s="271"/>
      <c r="K218" s="235"/>
      <c r="M218" s="271"/>
      <c r="N218" s="235"/>
    </row>
    <row r="219" spans="1:14" ht="14.25" customHeight="1" x14ac:dyDescent="0.25">
      <c r="A219" s="235"/>
      <c r="F219" s="271"/>
      <c r="I219" s="271"/>
      <c r="J219" s="271"/>
      <c r="K219" s="235"/>
      <c r="M219" s="271"/>
      <c r="N219" s="235"/>
    </row>
    <row r="220" spans="1:14" ht="14.25" customHeight="1" x14ac:dyDescent="0.25">
      <c r="A220" s="235"/>
      <c r="F220" s="271"/>
      <c r="I220" s="271"/>
      <c r="J220" s="271"/>
      <c r="K220" s="235"/>
      <c r="M220" s="271"/>
      <c r="N220" s="235"/>
    </row>
    <row r="221" spans="1:14" ht="14.25" customHeight="1" x14ac:dyDescent="0.25">
      <c r="A221" s="235"/>
      <c r="F221" s="271"/>
      <c r="I221" s="271"/>
      <c r="J221" s="271"/>
      <c r="K221" s="235"/>
      <c r="M221" s="271"/>
      <c r="N221" s="235"/>
    </row>
    <row r="222" spans="1:14" ht="14.25" customHeight="1" x14ac:dyDescent="0.25">
      <c r="A222" s="235"/>
      <c r="F222" s="271"/>
      <c r="I222" s="271"/>
      <c r="J222" s="271"/>
      <c r="K222" s="235"/>
      <c r="M222" s="271"/>
      <c r="N222" s="235"/>
    </row>
    <row r="223" spans="1:14" ht="14.25" customHeight="1" x14ac:dyDescent="0.25">
      <c r="A223" s="235"/>
      <c r="F223" s="271"/>
      <c r="I223" s="271"/>
      <c r="J223" s="271"/>
      <c r="K223" s="235"/>
      <c r="M223" s="271"/>
      <c r="N223" s="235"/>
    </row>
    <row r="224" spans="1:14" ht="14.25" customHeight="1" x14ac:dyDescent="0.25">
      <c r="A224" s="235"/>
      <c r="F224" s="271"/>
      <c r="I224" s="271"/>
      <c r="J224" s="271"/>
      <c r="K224" s="235"/>
      <c r="M224" s="271"/>
      <c r="N224" s="235"/>
    </row>
    <row r="225" spans="1:14" ht="14.25" customHeight="1" x14ac:dyDescent="0.25">
      <c r="A225" s="235"/>
      <c r="F225" s="271"/>
      <c r="I225" s="271"/>
      <c r="J225" s="271"/>
      <c r="K225" s="235"/>
      <c r="M225" s="271"/>
      <c r="N225" s="235"/>
    </row>
    <row r="226" spans="1:14" ht="14.25" customHeight="1" x14ac:dyDescent="0.25">
      <c r="A226" s="235"/>
      <c r="F226" s="271"/>
      <c r="I226" s="271"/>
      <c r="J226" s="271"/>
      <c r="K226" s="235"/>
      <c r="M226" s="271"/>
      <c r="N226" s="235"/>
    </row>
    <row r="227" spans="1:14" ht="14.25" customHeight="1" x14ac:dyDescent="0.25">
      <c r="A227" s="235"/>
      <c r="F227" s="271"/>
      <c r="I227" s="271"/>
      <c r="J227" s="271"/>
      <c r="K227" s="235"/>
      <c r="M227" s="271"/>
      <c r="N227" s="235"/>
    </row>
    <row r="228" spans="1:14" ht="14.25" customHeight="1" x14ac:dyDescent="0.25">
      <c r="A228" s="235"/>
      <c r="F228" s="271"/>
      <c r="I228" s="271"/>
      <c r="J228" s="271"/>
      <c r="K228" s="235"/>
      <c r="M228" s="271"/>
      <c r="N228" s="235"/>
    </row>
    <row r="229" spans="1:14" ht="14.25" customHeight="1" x14ac:dyDescent="0.25">
      <c r="A229" s="235"/>
      <c r="F229" s="271"/>
      <c r="I229" s="271"/>
      <c r="J229" s="271"/>
      <c r="K229" s="235"/>
      <c r="M229" s="271"/>
      <c r="N229" s="235"/>
    </row>
    <row r="230" spans="1:14" ht="14.25" customHeight="1" x14ac:dyDescent="0.25">
      <c r="A230" s="235"/>
      <c r="F230" s="271"/>
      <c r="I230" s="271"/>
      <c r="J230" s="271"/>
      <c r="K230" s="235"/>
      <c r="M230" s="271"/>
      <c r="N230" s="235"/>
    </row>
    <row r="231" spans="1:14" ht="14.25" customHeight="1" x14ac:dyDescent="0.25">
      <c r="A231" s="235"/>
      <c r="F231" s="271"/>
      <c r="I231" s="271"/>
      <c r="J231" s="271"/>
      <c r="K231" s="235"/>
      <c r="M231" s="271"/>
      <c r="N231" s="235"/>
    </row>
    <row r="232" spans="1:14" ht="14.25" customHeight="1" x14ac:dyDescent="0.25">
      <c r="A232" s="235"/>
      <c r="F232" s="271"/>
      <c r="I232" s="271"/>
      <c r="J232" s="271"/>
      <c r="K232" s="235"/>
      <c r="M232" s="271"/>
      <c r="N232" s="235"/>
    </row>
    <row r="233" spans="1:14" ht="14.25" customHeight="1" x14ac:dyDescent="0.25">
      <c r="A233" s="235"/>
      <c r="F233" s="271"/>
      <c r="I233" s="271"/>
      <c r="J233" s="271"/>
      <c r="K233" s="235"/>
      <c r="M233" s="271"/>
      <c r="N233" s="235"/>
    </row>
    <row r="234" spans="1:14" ht="14.25" customHeight="1" x14ac:dyDescent="0.25">
      <c r="A234" s="235"/>
      <c r="F234" s="271"/>
      <c r="I234" s="271"/>
      <c r="J234" s="271"/>
      <c r="K234" s="235"/>
      <c r="M234" s="271"/>
      <c r="N234" s="235"/>
    </row>
    <row r="235" spans="1:14" ht="14.25" customHeight="1" x14ac:dyDescent="0.25">
      <c r="A235" s="235"/>
      <c r="F235" s="271"/>
      <c r="I235" s="271"/>
      <c r="J235" s="271"/>
      <c r="K235" s="235"/>
      <c r="M235" s="271"/>
      <c r="N235" s="235"/>
    </row>
    <row r="236" spans="1:14" ht="14.25" customHeight="1" x14ac:dyDescent="0.25">
      <c r="A236" s="235"/>
      <c r="F236" s="271"/>
      <c r="I236" s="271"/>
      <c r="J236" s="271"/>
      <c r="K236" s="235"/>
      <c r="M236" s="271"/>
      <c r="N236" s="235"/>
    </row>
    <row r="237" spans="1:14" ht="14.25" customHeight="1" x14ac:dyDescent="0.25">
      <c r="A237" s="235"/>
      <c r="F237" s="271"/>
      <c r="I237" s="271"/>
      <c r="J237" s="271"/>
      <c r="K237" s="235"/>
      <c r="M237" s="271"/>
      <c r="N237" s="235"/>
    </row>
    <row r="238" spans="1:14" ht="14.25" customHeight="1" x14ac:dyDescent="0.25">
      <c r="A238" s="235"/>
      <c r="F238" s="271"/>
      <c r="I238" s="271"/>
      <c r="J238" s="271"/>
      <c r="K238" s="235"/>
      <c r="M238" s="271"/>
      <c r="N238" s="235"/>
    </row>
    <row r="239" spans="1:14" ht="14.25" customHeight="1" x14ac:dyDescent="0.25">
      <c r="A239" s="235"/>
      <c r="F239" s="271"/>
      <c r="I239" s="271"/>
      <c r="J239" s="271"/>
      <c r="K239" s="235"/>
      <c r="M239" s="271"/>
      <c r="N239" s="235"/>
    </row>
    <row r="240" spans="1:14" ht="14.25" customHeight="1" x14ac:dyDescent="0.25">
      <c r="A240" s="235"/>
      <c r="F240" s="271"/>
      <c r="I240" s="271"/>
      <c r="J240" s="271"/>
      <c r="K240" s="235"/>
      <c r="M240" s="271"/>
      <c r="N240" s="235"/>
    </row>
    <row r="241" spans="1:14" ht="14.25" customHeight="1" x14ac:dyDescent="0.25">
      <c r="A241" s="235"/>
      <c r="F241" s="271"/>
      <c r="I241" s="271"/>
      <c r="J241" s="271"/>
      <c r="K241" s="235"/>
      <c r="M241" s="271"/>
      <c r="N241" s="235"/>
    </row>
    <row r="242" spans="1:14" ht="14.25" customHeight="1" x14ac:dyDescent="0.25">
      <c r="A242" s="235"/>
      <c r="F242" s="271"/>
      <c r="I242" s="271"/>
      <c r="J242" s="271"/>
      <c r="K242" s="235"/>
      <c r="M242" s="271"/>
      <c r="N242" s="235"/>
    </row>
    <row r="243" spans="1:14" ht="14.25" customHeight="1" x14ac:dyDescent="0.25">
      <c r="A243" s="235"/>
      <c r="F243" s="271"/>
      <c r="I243" s="271"/>
      <c r="J243" s="271"/>
      <c r="K243" s="235"/>
      <c r="M243" s="271"/>
      <c r="N243" s="235"/>
    </row>
    <row r="244" spans="1:14" ht="14.25" customHeight="1" x14ac:dyDescent="0.25">
      <c r="A244" s="235"/>
      <c r="F244" s="271"/>
      <c r="I244" s="271"/>
      <c r="J244" s="271"/>
      <c r="K244" s="235"/>
      <c r="M244" s="271"/>
      <c r="N244" s="235"/>
    </row>
    <row r="245" spans="1:14" ht="14.25" customHeight="1" x14ac:dyDescent="0.25">
      <c r="A245" s="235"/>
      <c r="F245" s="271"/>
      <c r="I245" s="271"/>
      <c r="J245" s="271"/>
      <c r="K245" s="235"/>
      <c r="M245" s="271"/>
      <c r="N245" s="235"/>
    </row>
    <row r="246" spans="1:14" ht="14.25" customHeight="1" x14ac:dyDescent="0.25">
      <c r="A246" s="235"/>
      <c r="F246" s="271"/>
      <c r="I246" s="271"/>
      <c r="J246" s="271"/>
      <c r="K246" s="235"/>
      <c r="M246" s="271"/>
      <c r="N246" s="235"/>
    </row>
    <row r="247" spans="1:14" ht="14.25" customHeight="1" x14ac:dyDescent="0.25">
      <c r="A247" s="235"/>
      <c r="F247" s="271"/>
      <c r="I247" s="271"/>
      <c r="J247" s="271"/>
      <c r="K247" s="235"/>
      <c r="M247" s="271"/>
      <c r="N247" s="235"/>
    </row>
    <row r="248" spans="1:14" ht="14.25" customHeight="1" x14ac:dyDescent="0.25">
      <c r="A248" s="235"/>
      <c r="F248" s="271"/>
      <c r="I248" s="271"/>
      <c r="J248" s="271"/>
      <c r="K248" s="235"/>
      <c r="M248" s="271"/>
      <c r="N248" s="235"/>
    </row>
    <row r="249" spans="1:14" ht="14.25" customHeight="1" x14ac:dyDescent="0.25">
      <c r="A249" s="235"/>
      <c r="F249" s="271"/>
      <c r="I249" s="271"/>
      <c r="J249" s="271"/>
      <c r="K249" s="235"/>
      <c r="M249" s="271"/>
      <c r="N249" s="235"/>
    </row>
    <row r="250" spans="1:14" ht="14.25" customHeight="1" x14ac:dyDescent="0.25">
      <c r="A250" s="235"/>
      <c r="F250" s="271"/>
      <c r="I250" s="271"/>
      <c r="J250" s="271"/>
      <c r="K250" s="235"/>
      <c r="M250" s="271"/>
      <c r="N250" s="235"/>
    </row>
    <row r="251" spans="1:14" ht="14.25" customHeight="1" x14ac:dyDescent="0.25">
      <c r="A251" s="235"/>
      <c r="F251" s="271"/>
      <c r="I251" s="271"/>
      <c r="J251" s="271"/>
      <c r="K251" s="235"/>
      <c r="M251" s="271"/>
      <c r="N251" s="235"/>
    </row>
    <row r="252" spans="1:14" ht="14.25" customHeight="1" x14ac:dyDescent="0.25">
      <c r="A252" s="235"/>
      <c r="F252" s="271"/>
      <c r="I252" s="271"/>
      <c r="J252" s="271"/>
      <c r="K252" s="235"/>
      <c r="M252" s="271"/>
      <c r="N252" s="235"/>
    </row>
    <row r="253" spans="1:14" ht="14.25" customHeight="1" x14ac:dyDescent="0.25">
      <c r="A253" s="235"/>
      <c r="F253" s="271"/>
      <c r="I253" s="271"/>
      <c r="J253" s="271"/>
      <c r="K253" s="235"/>
      <c r="M253" s="271"/>
      <c r="N253" s="235"/>
    </row>
    <row r="254" spans="1:14" ht="14.25" customHeight="1" x14ac:dyDescent="0.25">
      <c r="A254" s="235"/>
      <c r="F254" s="271"/>
      <c r="I254" s="271"/>
      <c r="J254" s="271"/>
      <c r="K254" s="235"/>
      <c r="M254" s="271"/>
      <c r="N254" s="235"/>
    </row>
    <row r="255" spans="1:14" ht="14.25" customHeight="1" x14ac:dyDescent="0.25">
      <c r="A255" s="235"/>
      <c r="F255" s="271"/>
      <c r="I255" s="271"/>
      <c r="J255" s="271"/>
      <c r="K255" s="235"/>
      <c r="M255" s="271"/>
      <c r="N255" s="235"/>
    </row>
    <row r="256" spans="1:14" ht="14.25" customHeight="1" x14ac:dyDescent="0.25">
      <c r="A256" s="235"/>
      <c r="F256" s="271"/>
      <c r="I256" s="271"/>
      <c r="J256" s="271"/>
      <c r="K256" s="235"/>
      <c r="M256" s="271"/>
      <c r="N256" s="235"/>
    </row>
    <row r="257" spans="1:14" ht="14.25" customHeight="1" x14ac:dyDescent="0.25">
      <c r="A257" s="235"/>
      <c r="F257" s="271"/>
      <c r="I257" s="271"/>
      <c r="J257" s="271"/>
      <c r="K257" s="235"/>
      <c r="M257" s="271"/>
      <c r="N257" s="235"/>
    </row>
    <row r="258" spans="1:14" ht="14.25" customHeight="1" x14ac:dyDescent="0.25">
      <c r="A258" s="235"/>
      <c r="F258" s="271"/>
      <c r="I258" s="271"/>
      <c r="J258" s="271"/>
      <c r="K258" s="235"/>
      <c r="M258" s="271"/>
      <c r="N258" s="235"/>
    </row>
    <row r="259" spans="1:14" ht="14.25" customHeight="1" x14ac:dyDescent="0.25">
      <c r="A259" s="235"/>
      <c r="F259" s="271"/>
      <c r="I259" s="271"/>
      <c r="J259" s="271"/>
      <c r="K259" s="235"/>
      <c r="M259" s="271"/>
      <c r="N259" s="235"/>
    </row>
    <row r="260" spans="1:14" ht="14.25" customHeight="1" x14ac:dyDescent="0.25">
      <c r="A260" s="235"/>
      <c r="F260" s="271"/>
      <c r="I260" s="271"/>
      <c r="J260" s="271"/>
      <c r="K260" s="235"/>
      <c r="M260" s="271"/>
      <c r="N260" s="235"/>
    </row>
    <row r="261" spans="1:14" ht="14.25" customHeight="1" x14ac:dyDescent="0.25">
      <c r="A261" s="235"/>
      <c r="F261" s="271"/>
      <c r="I261" s="271"/>
      <c r="J261" s="271"/>
      <c r="K261" s="235"/>
      <c r="M261" s="271"/>
      <c r="N261" s="235"/>
    </row>
    <row r="262" spans="1:14" ht="14.25" customHeight="1" x14ac:dyDescent="0.25">
      <c r="A262" s="235"/>
      <c r="F262" s="271"/>
      <c r="I262" s="271"/>
      <c r="J262" s="271"/>
      <c r="K262" s="235"/>
      <c r="M262" s="271"/>
      <c r="N262" s="235"/>
    </row>
    <row r="263" spans="1:14" ht="14.25" customHeight="1" x14ac:dyDescent="0.25">
      <c r="A263" s="235"/>
      <c r="F263" s="271"/>
      <c r="I263" s="271"/>
      <c r="J263" s="271"/>
      <c r="K263" s="235"/>
      <c r="M263" s="271"/>
      <c r="N263" s="235"/>
    </row>
    <row r="264" spans="1:14" ht="14.25" customHeight="1" x14ac:dyDescent="0.25">
      <c r="A264" s="235"/>
      <c r="F264" s="271"/>
      <c r="I264" s="271"/>
      <c r="J264" s="271"/>
      <c r="K264" s="235"/>
      <c r="M264" s="271"/>
      <c r="N264" s="235"/>
    </row>
    <row r="265" spans="1:14" ht="14.25" customHeight="1" x14ac:dyDescent="0.25">
      <c r="A265" s="235"/>
      <c r="F265" s="271"/>
      <c r="I265" s="271"/>
      <c r="J265" s="271"/>
      <c r="K265" s="235"/>
      <c r="M265" s="271"/>
      <c r="N265" s="235"/>
    </row>
    <row r="266" spans="1:14" ht="14.25" customHeight="1" x14ac:dyDescent="0.25">
      <c r="A266" s="235"/>
      <c r="F266" s="271"/>
      <c r="I266" s="271"/>
      <c r="J266" s="271"/>
      <c r="K266" s="235"/>
      <c r="M266" s="271"/>
      <c r="N266" s="235"/>
    </row>
    <row r="267" spans="1:14" ht="14.25" customHeight="1" x14ac:dyDescent="0.25">
      <c r="A267" s="235"/>
      <c r="F267" s="271"/>
      <c r="I267" s="271"/>
      <c r="J267" s="271"/>
      <c r="K267" s="235"/>
      <c r="M267" s="271"/>
      <c r="N267" s="235"/>
    </row>
    <row r="268" spans="1:14" ht="14.25" customHeight="1" x14ac:dyDescent="0.25">
      <c r="A268" s="235"/>
      <c r="F268" s="271"/>
      <c r="I268" s="271"/>
      <c r="J268" s="271"/>
      <c r="K268" s="235"/>
      <c r="M268" s="271"/>
      <c r="N268" s="235"/>
    </row>
    <row r="269" spans="1:14" ht="14.25" customHeight="1" x14ac:dyDescent="0.25">
      <c r="A269" s="235"/>
      <c r="F269" s="271"/>
      <c r="I269" s="271"/>
      <c r="J269" s="271"/>
      <c r="K269" s="235"/>
      <c r="M269" s="271"/>
      <c r="N269" s="235"/>
    </row>
    <row r="270" spans="1:14" ht="14.25" customHeight="1" x14ac:dyDescent="0.25">
      <c r="A270" s="235"/>
      <c r="F270" s="271"/>
      <c r="I270" s="271"/>
      <c r="J270" s="271"/>
      <c r="K270" s="235"/>
      <c r="M270" s="271"/>
      <c r="N270" s="235"/>
    </row>
    <row r="271" spans="1:14" ht="14.25" customHeight="1" x14ac:dyDescent="0.25">
      <c r="A271" s="235"/>
      <c r="F271" s="271"/>
      <c r="I271" s="271"/>
      <c r="J271" s="271"/>
      <c r="K271" s="235"/>
      <c r="M271" s="271"/>
      <c r="N271" s="235"/>
    </row>
    <row r="272" spans="1:14" ht="14.25" customHeight="1" x14ac:dyDescent="0.25">
      <c r="A272" s="235"/>
      <c r="F272" s="271"/>
      <c r="I272" s="271"/>
      <c r="J272" s="271"/>
      <c r="K272" s="235"/>
      <c r="M272" s="271"/>
      <c r="N272" s="235"/>
    </row>
    <row r="273" spans="1:14" ht="14.25" customHeight="1" x14ac:dyDescent="0.25">
      <c r="A273" s="235"/>
      <c r="F273" s="271"/>
      <c r="I273" s="271"/>
      <c r="J273" s="271"/>
      <c r="K273" s="235"/>
      <c r="M273" s="271"/>
      <c r="N273" s="235"/>
    </row>
    <row r="274" spans="1:14" ht="14.25" customHeight="1" x14ac:dyDescent="0.25">
      <c r="A274" s="235"/>
      <c r="F274" s="271"/>
      <c r="I274" s="271"/>
      <c r="J274" s="271"/>
      <c r="K274" s="235"/>
      <c r="M274" s="271"/>
      <c r="N274" s="235"/>
    </row>
    <row r="275" spans="1:14" ht="14.25" customHeight="1" x14ac:dyDescent="0.25">
      <c r="A275" s="235"/>
      <c r="F275" s="271"/>
      <c r="I275" s="271"/>
      <c r="J275" s="271"/>
      <c r="K275" s="235"/>
      <c r="M275" s="271"/>
      <c r="N275" s="235"/>
    </row>
    <row r="276" spans="1:14" ht="14.25" customHeight="1" x14ac:dyDescent="0.25">
      <c r="A276" s="235"/>
      <c r="F276" s="271"/>
      <c r="I276" s="271"/>
      <c r="J276" s="271"/>
      <c r="K276" s="235"/>
      <c r="M276" s="271"/>
      <c r="N276" s="235"/>
    </row>
    <row r="277" spans="1:14" ht="14.25" customHeight="1" x14ac:dyDescent="0.25">
      <c r="A277" s="235"/>
      <c r="F277" s="271"/>
      <c r="I277" s="271"/>
      <c r="J277" s="271"/>
      <c r="K277" s="235"/>
      <c r="M277" s="271"/>
      <c r="N277" s="235"/>
    </row>
    <row r="278" spans="1:14" ht="14.25" customHeight="1" x14ac:dyDescent="0.25">
      <c r="A278" s="235"/>
      <c r="F278" s="271"/>
      <c r="I278" s="271"/>
      <c r="J278" s="271"/>
      <c r="K278" s="235"/>
      <c r="M278" s="271"/>
      <c r="N278" s="235"/>
    </row>
    <row r="279" spans="1:14" ht="14.25" customHeight="1" x14ac:dyDescent="0.25">
      <c r="A279" s="235"/>
      <c r="F279" s="271"/>
      <c r="I279" s="271"/>
      <c r="J279" s="271"/>
      <c r="K279" s="235"/>
      <c r="M279" s="271"/>
      <c r="N279" s="235"/>
    </row>
    <row r="280" spans="1:14" ht="14.25" customHeight="1" x14ac:dyDescent="0.25">
      <c r="A280" s="235"/>
      <c r="F280" s="271"/>
      <c r="I280" s="271"/>
      <c r="J280" s="271"/>
      <c r="K280" s="235"/>
      <c r="M280" s="271"/>
      <c r="N280" s="235"/>
    </row>
    <row r="281" spans="1:14" ht="14.25" customHeight="1" x14ac:dyDescent="0.25">
      <c r="A281" s="235"/>
      <c r="F281" s="271"/>
      <c r="I281" s="271"/>
      <c r="J281" s="271"/>
      <c r="K281" s="235"/>
      <c r="M281" s="271"/>
      <c r="N281" s="235"/>
    </row>
    <row r="282" spans="1:14" ht="14.25" customHeight="1" x14ac:dyDescent="0.25">
      <c r="A282" s="235"/>
      <c r="F282" s="271"/>
      <c r="I282" s="271"/>
      <c r="J282" s="271"/>
      <c r="K282" s="235"/>
      <c r="M282" s="271"/>
      <c r="N282" s="235"/>
    </row>
    <row r="283" spans="1:14" ht="14.25" customHeight="1" x14ac:dyDescent="0.25">
      <c r="A283" s="235"/>
      <c r="F283" s="271"/>
      <c r="I283" s="271"/>
      <c r="J283" s="271"/>
      <c r="K283" s="235"/>
      <c r="M283" s="271"/>
      <c r="N283" s="235"/>
    </row>
    <row r="284" spans="1:14" ht="14.25" customHeight="1" x14ac:dyDescent="0.25">
      <c r="A284" s="235"/>
      <c r="F284" s="271"/>
      <c r="I284" s="271"/>
      <c r="J284" s="271"/>
      <c r="K284" s="235"/>
      <c r="M284" s="271"/>
      <c r="N284" s="235"/>
    </row>
    <row r="285" spans="1:14" ht="14.25" customHeight="1" x14ac:dyDescent="0.25">
      <c r="A285" s="235"/>
      <c r="F285" s="271"/>
      <c r="I285" s="271"/>
      <c r="J285" s="271"/>
      <c r="K285" s="235"/>
      <c r="M285" s="271"/>
      <c r="N285" s="235"/>
    </row>
    <row r="286" spans="1:14" ht="14.25" customHeight="1" x14ac:dyDescent="0.25">
      <c r="A286" s="235"/>
      <c r="F286" s="271"/>
      <c r="I286" s="271"/>
      <c r="J286" s="271"/>
      <c r="K286" s="235"/>
      <c r="M286" s="271"/>
      <c r="N286" s="235"/>
    </row>
    <row r="287" spans="1:14" ht="14.25" customHeight="1" x14ac:dyDescent="0.25">
      <c r="A287" s="235"/>
      <c r="F287" s="271"/>
      <c r="I287" s="271"/>
      <c r="J287" s="271"/>
      <c r="K287" s="235"/>
      <c r="M287" s="271"/>
      <c r="N287" s="235"/>
    </row>
    <row r="288" spans="1:14" ht="14.25" customHeight="1" x14ac:dyDescent="0.25">
      <c r="A288" s="235"/>
      <c r="F288" s="271"/>
      <c r="I288" s="271"/>
      <c r="J288" s="271"/>
      <c r="K288" s="235"/>
      <c r="M288" s="271"/>
      <c r="N288" s="235"/>
    </row>
    <row r="289" spans="1:14" ht="14.25" customHeight="1" x14ac:dyDescent="0.25">
      <c r="A289" s="235"/>
      <c r="F289" s="271"/>
      <c r="I289" s="271"/>
      <c r="J289" s="271"/>
      <c r="K289" s="235"/>
      <c r="M289" s="271"/>
      <c r="N289" s="235"/>
    </row>
    <row r="290" spans="1:14" ht="14.25" customHeight="1" x14ac:dyDescent="0.25">
      <c r="A290" s="235"/>
      <c r="F290" s="271"/>
      <c r="I290" s="271"/>
      <c r="J290" s="271"/>
      <c r="K290" s="235"/>
      <c r="M290" s="271"/>
      <c r="N290" s="235"/>
    </row>
    <row r="291" spans="1:14" ht="14.25" customHeight="1" x14ac:dyDescent="0.25">
      <c r="A291" s="235"/>
      <c r="F291" s="271"/>
      <c r="I291" s="271"/>
      <c r="J291" s="271"/>
      <c r="K291" s="235"/>
      <c r="M291" s="271"/>
      <c r="N291" s="235"/>
    </row>
    <row r="292" spans="1:14" ht="14.25" customHeight="1" x14ac:dyDescent="0.25">
      <c r="A292" s="235"/>
      <c r="F292" s="271"/>
      <c r="I292" s="271"/>
      <c r="J292" s="271"/>
      <c r="K292" s="235"/>
      <c r="M292" s="271"/>
      <c r="N292" s="235"/>
    </row>
    <row r="293" spans="1:14" ht="14.25" customHeight="1" x14ac:dyDescent="0.25">
      <c r="A293" s="235"/>
      <c r="F293" s="271"/>
      <c r="I293" s="271"/>
      <c r="J293" s="271"/>
      <c r="K293" s="235"/>
      <c r="M293" s="271"/>
      <c r="N293" s="235"/>
    </row>
    <row r="294" spans="1:14" ht="14.25" customHeight="1" x14ac:dyDescent="0.25">
      <c r="A294" s="235"/>
      <c r="F294" s="271"/>
      <c r="I294" s="271"/>
      <c r="J294" s="271"/>
      <c r="K294" s="235"/>
      <c r="M294" s="271"/>
      <c r="N294" s="235"/>
    </row>
    <row r="295" spans="1:14" ht="14.25" customHeight="1" x14ac:dyDescent="0.25">
      <c r="A295" s="235"/>
      <c r="F295" s="271"/>
      <c r="I295" s="271"/>
      <c r="J295" s="271"/>
      <c r="K295" s="235"/>
      <c r="M295" s="271"/>
      <c r="N295" s="235"/>
    </row>
    <row r="296" spans="1:14" ht="14.25" customHeight="1" x14ac:dyDescent="0.25">
      <c r="A296" s="235"/>
      <c r="F296" s="271"/>
      <c r="I296" s="271"/>
      <c r="J296" s="271"/>
      <c r="K296" s="235"/>
      <c r="M296" s="271"/>
      <c r="N296" s="235"/>
    </row>
    <row r="297" spans="1:14" ht="14.25" customHeight="1" x14ac:dyDescent="0.25">
      <c r="A297" s="235"/>
      <c r="F297" s="271"/>
      <c r="I297" s="271"/>
      <c r="J297" s="271"/>
      <c r="K297" s="235"/>
      <c r="M297" s="271"/>
      <c r="N297" s="235"/>
    </row>
    <row r="298" spans="1:14" ht="14.25" customHeight="1" x14ac:dyDescent="0.25">
      <c r="A298" s="235"/>
      <c r="F298" s="271"/>
      <c r="I298" s="271"/>
      <c r="J298" s="271"/>
      <c r="K298" s="235"/>
      <c r="M298" s="271"/>
      <c r="N298" s="235"/>
    </row>
    <row r="299" spans="1:14" ht="14.25" customHeight="1" x14ac:dyDescent="0.25">
      <c r="A299" s="235"/>
      <c r="F299" s="271"/>
      <c r="I299" s="271"/>
      <c r="J299" s="271"/>
      <c r="K299" s="235"/>
      <c r="M299" s="271"/>
      <c r="N299" s="235"/>
    </row>
    <row r="300" spans="1:14" ht="14.25" customHeight="1" x14ac:dyDescent="0.25">
      <c r="A300" s="235"/>
      <c r="F300" s="271"/>
      <c r="I300" s="271"/>
      <c r="J300" s="271"/>
      <c r="K300" s="235"/>
      <c r="M300" s="271"/>
      <c r="N300" s="235"/>
    </row>
    <row r="301" spans="1:14" ht="14.25" customHeight="1" x14ac:dyDescent="0.25">
      <c r="A301" s="235"/>
      <c r="F301" s="271"/>
      <c r="I301" s="271"/>
      <c r="J301" s="271"/>
      <c r="K301" s="235"/>
      <c r="M301" s="271"/>
      <c r="N301" s="235"/>
    </row>
    <row r="302" spans="1:14" ht="14.25" customHeight="1" x14ac:dyDescent="0.25">
      <c r="A302" s="235"/>
      <c r="F302" s="271"/>
      <c r="I302" s="271"/>
      <c r="J302" s="271"/>
      <c r="K302" s="235"/>
      <c r="M302" s="271"/>
      <c r="N302" s="235"/>
    </row>
    <row r="303" spans="1:14" ht="14.25" customHeight="1" x14ac:dyDescent="0.25">
      <c r="A303" s="235"/>
      <c r="F303" s="271"/>
      <c r="I303" s="271"/>
      <c r="J303" s="271"/>
      <c r="K303" s="235"/>
      <c r="M303" s="271"/>
      <c r="N303" s="235"/>
    </row>
    <row r="304" spans="1:14" ht="14.25" customHeight="1" x14ac:dyDescent="0.25">
      <c r="A304" s="235"/>
      <c r="F304" s="271"/>
      <c r="I304" s="271"/>
      <c r="J304" s="271"/>
      <c r="K304" s="235"/>
      <c r="M304" s="271"/>
      <c r="N304" s="235"/>
    </row>
    <row r="305" spans="1:14" ht="14.25" customHeight="1" x14ac:dyDescent="0.25">
      <c r="A305" s="235"/>
      <c r="F305" s="271"/>
      <c r="I305" s="271"/>
      <c r="J305" s="271"/>
      <c r="K305" s="235"/>
      <c r="M305" s="271"/>
      <c r="N305" s="235"/>
    </row>
    <row r="306" spans="1:14" ht="14.25" customHeight="1" x14ac:dyDescent="0.25">
      <c r="A306" s="235"/>
      <c r="F306" s="271"/>
      <c r="I306" s="271"/>
      <c r="J306" s="271"/>
      <c r="K306" s="235"/>
      <c r="M306" s="271"/>
      <c r="N306" s="235"/>
    </row>
    <row r="307" spans="1:14" ht="14.25" customHeight="1" x14ac:dyDescent="0.25">
      <c r="A307" s="235"/>
      <c r="F307" s="271"/>
      <c r="I307" s="271"/>
      <c r="J307" s="271"/>
      <c r="K307" s="235"/>
      <c r="M307" s="271"/>
      <c r="N307" s="235"/>
    </row>
    <row r="308" spans="1:14" ht="14.25" customHeight="1" x14ac:dyDescent="0.25">
      <c r="A308" s="235"/>
      <c r="F308" s="271"/>
      <c r="I308" s="271"/>
      <c r="J308" s="271"/>
      <c r="K308" s="235"/>
      <c r="M308" s="271"/>
      <c r="N308" s="235"/>
    </row>
    <row r="309" spans="1:14" ht="14.25" customHeight="1" x14ac:dyDescent="0.25">
      <c r="A309" s="235"/>
      <c r="F309" s="271"/>
      <c r="I309" s="271"/>
      <c r="J309" s="271"/>
      <c r="K309" s="235"/>
      <c r="M309" s="271"/>
      <c r="N309" s="235"/>
    </row>
    <row r="310" spans="1:14" ht="14.25" customHeight="1" x14ac:dyDescent="0.25">
      <c r="A310" s="235"/>
      <c r="F310" s="271"/>
      <c r="I310" s="271"/>
      <c r="J310" s="271"/>
      <c r="K310" s="235"/>
      <c r="M310" s="271"/>
      <c r="N310" s="235"/>
    </row>
    <row r="311" spans="1:14" ht="14.25" customHeight="1" x14ac:dyDescent="0.25">
      <c r="A311" s="235"/>
      <c r="F311" s="271"/>
      <c r="I311" s="271"/>
      <c r="J311" s="271"/>
      <c r="K311" s="235"/>
      <c r="M311" s="271"/>
      <c r="N311" s="235"/>
    </row>
    <row r="312" spans="1:14" ht="14.25" customHeight="1" x14ac:dyDescent="0.25">
      <c r="A312" s="235"/>
      <c r="F312" s="271"/>
      <c r="I312" s="271"/>
      <c r="J312" s="271"/>
      <c r="K312" s="235"/>
      <c r="M312" s="271"/>
      <c r="N312" s="235"/>
    </row>
    <row r="313" spans="1:14" ht="14.25" customHeight="1" x14ac:dyDescent="0.25">
      <c r="A313" s="235"/>
      <c r="F313" s="271"/>
      <c r="I313" s="271"/>
      <c r="J313" s="271"/>
      <c r="K313" s="235"/>
      <c r="M313" s="271"/>
      <c r="N313" s="235"/>
    </row>
    <row r="314" spans="1:14" ht="14.25" customHeight="1" x14ac:dyDescent="0.25">
      <c r="A314" s="235"/>
      <c r="F314" s="271"/>
      <c r="I314" s="271"/>
      <c r="J314" s="271"/>
      <c r="K314" s="235"/>
      <c r="M314" s="271"/>
      <c r="N314" s="235"/>
    </row>
    <row r="315" spans="1:14" ht="14.25" customHeight="1" x14ac:dyDescent="0.25">
      <c r="A315" s="235"/>
      <c r="F315" s="271"/>
      <c r="I315" s="271"/>
      <c r="J315" s="271"/>
      <c r="K315" s="235"/>
      <c r="M315" s="271"/>
      <c r="N315" s="235"/>
    </row>
    <row r="316" spans="1:14" ht="14.25" customHeight="1" x14ac:dyDescent="0.25">
      <c r="A316" s="235"/>
      <c r="F316" s="271"/>
      <c r="I316" s="271"/>
      <c r="J316" s="271"/>
      <c r="K316" s="235"/>
      <c r="M316" s="271"/>
      <c r="N316" s="235"/>
    </row>
    <row r="317" spans="1:14" ht="14.25" customHeight="1" x14ac:dyDescent="0.25">
      <c r="A317" s="235"/>
      <c r="F317" s="271"/>
      <c r="I317" s="271"/>
      <c r="J317" s="271"/>
      <c r="K317" s="235"/>
      <c r="M317" s="271"/>
      <c r="N317" s="235"/>
    </row>
    <row r="318" spans="1:14" ht="14.25" customHeight="1" x14ac:dyDescent="0.25">
      <c r="A318" s="235"/>
      <c r="F318" s="271"/>
      <c r="I318" s="271"/>
      <c r="J318" s="271"/>
      <c r="K318" s="235"/>
      <c r="M318" s="271"/>
      <c r="N318" s="235"/>
    </row>
    <row r="319" spans="1:14" ht="14.25" customHeight="1" x14ac:dyDescent="0.25">
      <c r="A319" s="235"/>
      <c r="F319" s="271"/>
      <c r="I319" s="271"/>
      <c r="J319" s="271"/>
      <c r="K319" s="235"/>
      <c r="M319" s="271"/>
      <c r="N319" s="235"/>
    </row>
    <row r="320" spans="1:14" ht="14.25" customHeight="1" x14ac:dyDescent="0.25">
      <c r="A320" s="235"/>
      <c r="F320" s="271"/>
      <c r="I320" s="271"/>
      <c r="J320" s="271"/>
      <c r="K320" s="235"/>
      <c r="M320" s="271"/>
      <c r="N320" s="235"/>
    </row>
    <row r="321" spans="1:14" ht="14.25" customHeight="1" x14ac:dyDescent="0.25">
      <c r="A321" s="235"/>
      <c r="F321" s="271"/>
      <c r="I321" s="271"/>
      <c r="J321" s="271"/>
      <c r="K321" s="235"/>
      <c r="M321" s="271"/>
      <c r="N321" s="235"/>
    </row>
    <row r="322" spans="1:14" ht="14.25" customHeight="1" x14ac:dyDescent="0.25">
      <c r="A322" s="235"/>
      <c r="F322" s="271"/>
      <c r="I322" s="271"/>
      <c r="J322" s="271"/>
      <c r="K322" s="235"/>
      <c r="M322" s="271"/>
      <c r="N322" s="235"/>
    </row>
    <row r="323" spans="1:14" ht="14.25" customHeight="1" x14ac:dyDescent="0.25">
      <c r="A323" s="235"/>
      <c r="F323" s="271"/>
      <c r="I323" s="271"/>
      <c r="J323" s="271"/>
      <c r="K323" s="235"/>
      <c r="M323" s="271"/>
      <c r="N323" s="235"/>
    </row>
    <row r="324" spans="1:14" ht="14.25" customHeight="1" x14ac:dyDescent="0.25">
      <c r="A324" s="235"/>
      <c r="F324" s="271"/>
      <c r="I324" s="271"/>
      <c r="J324" s="271"/>
      <c r="K324" s="235"/>
      <c r="M324" s="271"/>
      <c r="N324" s="235"/>
    </row>
    <row r="325" spans="1:14" ht="14.25" customHeight="1" x14ac:dyDescent="0.25">
      <c r="A325" s="235"/>
      <c r="F325" s="271"/>
      <c r="I325" s="271"/>
      <c r="J325" s="271"/>
      <c r="K325" s="235"/>
      <c r="M325" s="271"/>
      <c r="N325" s="235"/>
    </row>
    <row r="326" spans="1:14" ht="14.25" customHeight="1" x14ac:dyDescent="0.25">
      <c r="A326" s="235"/>
      <c r="F326" s="271"/>
      <c r="I326" s="271"/>
      <c r="J326" s="271"/>
      <c r="K326" s="235"/>
      <c r="M326" s="271"/>
      <c r="N326" s="235"/>
    </row>
    <row r="327" spans="1:14" ht="14.25" customHeight="1" x14ac:dyDescent="0.25">
      <c r="A327" s="235"/>
      <c r="F327" s="271"/>
      <c r="I327" s="271"/>
      <c r="J327" s="271"/>
      <c r="K327" s="235"/>
      <c r="M327" s="271"/>
      <c r="N327" s="235"/>
    </row>
    <row r="328" spans="1:14" ht="14.25" customHeight="1" x14ac:dyDescent="0.25">
      <c r="A328" s="235"/>
      <c r="F328" s="271"/>
      <c r="I328" s="271"/>
      <c r="J328" s="271"/>
      <c r="K328" s="235"/>
      <c r="M328" s="271"/>
      <c r="N328" s="235"/>
    </row>
    <row r="329" spans="1:14" ht="14.25" customHeight="1" x14ac:dyDescent="0.25">
      <c r="A329" s="235"/>
      <c r="F329" s="271"/>
      <c r="I329" s="271"/>
      <c r="J329" s="271"/>
      <c r="K329" s="235"/>
      <c r="M329" s="271"/>
      <c r="N329" s="235"/>
    </row>
    <row r="330" spans="1:14" ht="14.25" customHeight="1" x14ac:dyDescent="0.25">
      <c r="A330" s="235"/>
      <c r="F330" s="271"/>
      <c r="I330" s="271"/>
      <c r="J330" s="271"/>
      <c r="K330" s="235"/>
      <c r="M330" s="271"/>
      <c r="N330" s="235"/>
    </row>
    <row r="331" spans="1:14" ht="14.25" customHeight="1" x14ac:dyDescent="0.25">
      <c r="A331" s="235"/>
      <c r="F331" s="271"/>
      <c r="I331" s="271"/>
      <c r="J331" s="271"/>
      <c r="K331" s="235"/>
      <c r="M331" s="271"/>
      <c r="N331" s="235"/>
    </row>
    <row r="332" spans="1:14" ht="14.25" customHeight="1" x14ac:dyDescent="0.25">
      <c r="A332" s="235"/>
      <c r="F332" s="271"/>
      <c r="I332" s="271"/>
      <c r="J332" s="271"/>
      <c r="K332" s="235"/>
      <c r="M332" s="271"/>
      <c r="N332" s="235"/>
    </row>
    <row r="333" spans="1:14" ht="14.25" customHeight="1" x14ac:dyDescent="0.25">
      <c r="A333" s="235"/>
      <c r="F333" s="271"/>
      <c r="I333" s="271"/>
      <c r="J333" s="271"/>
      <c r="K333" s="235"/>
      <c r="M333" s="271"/>
      <c r="N333" s="235"/>
    </row>
    <row r="334" spans="1:14" ht="14.25" customHeight="1" x14ac:dyDescent="0.25">
      <c r="A334" s="235"/>
      <c r="F334" s="271"/>
      <c r="I334" s="271"/>
      <c r="J334" s="271"/>
      <c r="K334" s="235"/>
      <c r="M334" s="271"/>
      <c r="N334" s="235"/>
    </row>
    <row r="335" spans="1:14" ht="14.25" customHeight="1" x14ac:dyDescent="0.25">
      <c r="A335" s="235"/>
      <c r="F335" s="271"/>
      <c r="I335" s="271"/>
      <c r="J335" s="271"/>
      <c r="K335" s="235"/>
      <c r="M335" s="271"/>
      <c r="N335" s="235"/>
    </row>
    <row r="336" spans="1:14" ht="14.25" customHeight="1" x14ac:dyDescent="0.25">
      <c r="A336" s="235"/>
      <c r="F336" s="271"/>
      <c r="I336" s="271"/>
      <c r="J336" s="271"/>
      <c r="K336" s="235"/>
      <c r="M336" s="271"/>
      <c r="N336" s="235"/>
    </row>
    <row r="337" spans="1:14" ht="14.25" customHeight="1" x14ac:dyDescent="0.25">
      <c r="A337" s="235"/>
      <c r="F337" s="271"/>
      <c r="I337" s="271"/>
      <c r="J337" s="271"/>
      <c r="K337" s="235"/>
      <c r="M337" s="271"/>
      <c r="N337" s="235"/>
    </row>
    <row r="338" spans="1:14" ht="14.25" customHeight="1" x14ac:dyDescent="0.25">
      <c r="A338" s="235"/>
      <c r="F338" s="271"/>
      <c r="I338" s="271"/>
      <c r="J338" s="271"/>
      <c r="K338" s="235"/>
      <c r="M338" s="271"/>
      <c r="N338" s="235"/>
    </row>
    <row r="339" spans="1:14" ht="14.25" customHeight="1" x14ac:dyDescent="0.25">
      <c r="A339" s="235"/>
      <c r="F339" s="271"/>
      <c r="I339" s="271"/>
      <c r="J339" s="271"/>
      <c r="K339" s="235"/>
      <c r="M339" s="271"/>
      <c r="N339" s="235"/>
    </row>
    <row r="340" spans="1:14" ht="14.25" customHeight="1" x14ac:dyDescent="0.25">
      <c r="A340" s="235"/>
      <c r="F340" s="271"/>
      <c r="I340" s="271"/>
      <c r="J340" s="271"/>
      <c r="K340" s="235"/>
      <c r="M340" s="271"/>
      <c r="N340" s="235"/>
    </row>
    <row r="341" spans="1:14" ht="14.25" customHeight="1" x14ac:dyDescent="0.25">
      <c r="A341" s="235"/>
      <c r="F341" s="271"/>
      <c r="I341" s="271"/>
      <c r="J341" s="271"/>
      <c r="K341" s="235"/>
      <c r="M341" s="271"/>
      <c r="N341" s="235"/>
    </row>
    <row r="342" spans="1:14" ht="14.25" customHeight="1" x14ac:dyDescent="0.25">
      <c r="A342" s="235"/>
      <c r="F342" s="271"/>
      <c r="I342" s="271"/>
      <c r="J342" s="271"/>
      <c r="K342" s="235"/>
      <c r="M342" s="271"/>
      <c r="N342" s="235"/>
    </row>
    <row r="343" spans="1:14" ht="14.25" customHeight="1" x14ac:dyDescent="0.25">
      <c r="A343" s="235"/>
      <c r="F343" s="271"/>
      <c r="I343" s="271"/>
      <c r="J343" s="271"/>
      <c r="K343" s="235"/>
      <c r="M343" s="271"/>
      <c r="N343" s="235"/>
    </row>
    <row r="344" spans="1:14" ht="14.25" customHeight="1" x14ac:dyDescent="0.25">
      <c r="A344" s="235"/>
      <c r="F344" s="271"/>
      <c r="I344" s="271"/>
      <c r="J344" s="271"/>
      <c r="K344" s="235"/>
      <c r="M344" s="271"/>
      <c r="N344" s="235"/>
    </row>
    <row r="345" spans="1:14" ht="14.25" customHeight="1" x14ac:dyDescent="0.25">
      <c r="A345" s="235"/>
      <c r="F345" s="271"/>
      <c r="I345" s="271"/>
      <c r="J345" s="271"/>
      <c r="K345" s="235"/>
      <c r="M345" s="271"/>
      <c r="N345" s="235"/>
    </row>
    <row r="346" spans="1:14" ht="14.25" customHeight="1" x14ac:dyDescent="0.25">
      <c r="A346" s="235"/>
      <c r="F346" s="271"/>
      <c r="I346" s="271"/>
      <c r="J346" s="271"/>
      <c r="K346" s="235"/>
      <c r="M346" s="271"/>
      <c r="N346" s="235"/>
    </row>
    <row r="347" spans="1:14" ht="14.25" customHeight="1" x14ac:dyDescent="0.25">
      <c r="A347" s="235"/>
      <c r="F347" s="271"/>
      <c r="I347" s="271"/>
      <c r="J347" s="271"/>
      <c r="K347" s="235"/>
      <c r="M347" s="271"/>
      <c r="N347" s="235"/>
    </row>
    <row r="348" spans="1:14" ht="14.25" customHeight="1" x14ac:dyDescent="0.25">
      <c r="A348" s="235"/>
      <c r="F348" s="271"/>
      <c r="I348" s="271"/>
      <c r="J348" s="271"/>
      <c r="K348" s="235"/>
      <c r="M348" s="271"/>
      <c r="N348" s="235"/>
    </row>
    <row r="349" spans="1:14" ht="14.25" customHeight="1" x14ac:dyDescent="0.25">
      <c r="A349" s="235"/>
      <c r="F349" s="271"/>
      <c r="I349" s="271"/>
      <c r="J349" s="271"/>
      <c r="K349" s="235"/>
      <c r="M349" s="271"/>
      <c r="N349" s="235"/>
    </row>
    <row r="350" spans="1:14" ht="14.25" customHeight="1" x14ac:dyDescent="0.25">
      <c r="A350" s="235"/>
      <c r="F350" s="271"/>
      <c r="I350" s="271"/>
      <c r="J350" s="271"/>
      <c r="K350" s="235"/>
      <c r="M350" s="271"/>
      <c r="N350" s="235"/>
    </row>
    <row r="351" spans="1:14" ht="14.25" customHeight="1" x14ac:dyDescent="0.25">
      <c r="A351" s="235"/>
      <c r="F351" s="271"/>
      <c r="I351" s="271"/>
      <c r="J351" s="271"/>
      <c r="K351" s="235"/>
      <c r="M351" s="271"/>
      <c r="N351" s="235"/>
    </row>
    <row r="352" spans="1:14" ht="14.25" customHeight="1" x14ac:dyDescent="0.25">
      <c r="A352" s="235"/>
      <c r="F352" s="271"/>
      <c r="I352" s="271"/>
      <c r="J352" s="271"/>
      <c r="K352" s="235"/>
      <c r="M352" s="271"/>
      <c r="N352" s="235"/>
    </row>
    <row r="353" spans="1:14" ht="14.25" customHeight="1" x14ac:dyDescent="0.25">
      <c r="A353" s="235"/>
      <c r="F353" s="271"/>
      <c r="I353" s="271"/>
      <c r="J353" s="271"/>
      <c r="K353" s="235"/>
      <c r="M353" s="271"/>
      <c r="N353" s="235"/>
    </row>
    <row r="354" spans="1:14" ht="14.25" customHeight="1" x14ac:dyDescent="0.25">
      <c r="A354" s="235"/>
      <c r="F354" s="271"/>
      <c r="I354" s="271"/>
      <c r="J354" s="271"/>
      <c r="K354" s="235"/>
      <c r="M354" s="271"/>
      <c r="N354" s="235"/>
    </row>
    <row r="355" spans="1:14" ht="14.25" customHeight="1" x14ac:dyDescent="0.25">
      <c r="A355" s="235"/>
      <c r="F355" s="271"/>
      <c r="I355" s="271"/>
      <c r="J355" s="271"/>
      <c r="K355" s="235"/>
      <c r="M355" s="271"/>
      <c r="N355" s="235"/>
    </row>
    <row r="356" spans="1:14" ht="14.25" customHeight="1" x14ac:dyDescent="0.25">
      <c r="A356" s="235"/>
      <c r="F356" s="271"/>
      <c r="I356" s="271"/>
      <c r="J356" s="271"/>
      <c r="K356" s="235"/>
      <c r="M356" s="271"/>
      <c r="N356" s="235"/>
    </row>
    <row r="357" spans="1:14" ht="14.25" customHeight="1" x14ac:dyDescent="0.25">
      <c r="A357" s="235"/>
      <c r="F357" s="271"/>
      <c r="I357" s="271"/>
      <c r="J357" s="271"/>
      <c r="K357" s="235"/>
      <c r="M357" s="271"/>
      <c r="N357" s="235"/>
    </row>
    <row r="358" spans="1:14" ht="14.25" customHeight="1" x14ac:dyDescent="0.25">
      <c r="A358" s="235"/>
      <c r="F358" s="271"/>
      <c r="I358" s="271"/>
      <c r="J358" s="271"/>
      <c r="K358" s="235"/>
      <c r="M358" s="271"/>
      <c r="N358" s="235"/>
    </row>
    <row r="359" spans="1:14" ht="14.25" customHeight="1" x14ac:dyDescent="0.25">
      <c r="A359" s="235"/>
      <c r="F359" s="271"/>
      <c r="I359" s="271"/>
      <c r="J359" s="271"/>
      <c r="K359" s="235"/>
      <c r="M359" s="271"/>
      <c r="N359" s="235"/>
    </row>
    <row r="360" spans="1:14" ht="14.25" customHeight="1" x14ac:dyDescent="0.25">
      <c r="A360" s="235"/>
      <c r="F360" s="271"/>
      <c r="I360" s="271"/>
      <c r="J360" s="271"/>
      <c r="K360" s="235"/>
      <c r="M360" s="271"/>
      <c r="N360" s="235"/>
    </row>
    <row r="361" spans="1:14" ht="14.25" customHeight="1" x14ac:dyDescent="0.25">
      <c r="A361" s="235"/>
      <c r="F361" s="271"/>
      <c r="I361" s="271"/>
      <c r="J361" s="271"/>
      <c r="K361" s="235"/>
      <c r="M361" s="271"/>
      <c r="N361" s="235"/>
    </row>
    <row r="362" spans="1:14" ht="14.25" customHeight="1" x14ac:dyDescent="0.25">
      <c r="A362" s="235"/>
      <c r="F362" s="271"/>
      <c r="I362" s="271"/>
      <c r="J362" s="271"/>
      <c r="K362" s="235"/>
      <c r="M362" s="271"/>
      <c r="N362" s="235"/>
    </row>
    <row r="363" spans="1:14" ht="14.25" customHeight="1" x14ac:dyDescent="0.25">
      <c r="A363" s="235"/>
      <c r="F363" s="271"/>
      <c r="I363" s="271"/>
      <c r="J363" s="271"/>
      <c r="K363" s="235"/>
      <c r="M363" s="271"/>
      <c r="N363" s="235"/>
    </row>
    <row r="364" spans="1:14" ht="14.25" customHeight="1" x14ac:dyDescent="0.25">
      <c r="A364" s="235"/>
      <c r="F364" s="271"/>
      <c r="I364" s="271"/>
      <c r="J364" s="271"/>
      <c r="K364" s="235"/>
      <c r="M364" s="271"/>
      <c r="N364" s="235"/>
    </row>
    <row r="365" spans="1:14" ht="14.25" customHeight="1" x14ac:dyDescent="0.25">
      <c r="A365" s="235"/>
      <c r="F365" s="271"/>
      <c r="I365" s="271"/>
      <c r="J365" s="271"/>
      <c r="K365" s="235"/>
      <c r="M365" s="271"/>
      <c r="N365" s="235"/>
    </row>
    <row r="366" spans="1:14" ht="14.25" customHeight="1" x14ac:dyDescent="0.25">
      <c r="A366" s="235"/>
      <c r="F366" s="271"/>
      <c r="I366" s="271"/>
      <c r="J366" s="271"/>
      <c r="K366" s="235"/>
      <c r="M366" s="271"/>
      <c r="N366" s="235"/>
    </row>
    <row r="367" spans="1:14" ht="14.25" customHeight="1" x14ac:dyDescent="0.25">
      <c r="A367" s="235"/>
      <c r="F367" s="271"/>
      <c r="I367" s="271"/>
      <c r="J367" s="271"/>
      <c r="K367" s="235"/>
      <c r="M367" s="271"/>
      <c r="N367" s="235"/>
    </row>
    <row r="368" spans="1:14" ht="14.25" customHeight="1" x14ac:dyDescent="0.25">
      <c r="A368" s="235"/>
      <c r="F368" s="271"/>
      <c r="I368" s="271"/>
      <c r="J368" s="271"/>
      <c r="K368" s="235"/>
      <c r="M368" s="271"/>
      <c r="N368" s="235"/>
    </row>
    <row r="369" spans="1:14" ht="14.25" customHeight="1" x14ac:dyDescent="0.25">
      <c r="A369" s="235"/>
      <c r="F369" s="271"/>
      <c r="I369" s="271"/>
      <c r="J369" s="271"/>
      <c r="K369" s="235"/>
      <c r="M369" s="271"/>
      <c r="N369" s="235"/>
    </row>
    <row r="370" spans="1:14" ht="14.25" customHeight="1" x14ac:dyDescent="0.25">
      <c r="A370" s="235"/>
      <c r="F370" s="271"/>
      <c r="I370" s="271"/>
      <c r="J370" s="271"/>
      <c r="K370" s="235"/>
      <c r="M370" s="271"/>
      <c r="N370" s="235"/>
    </row>
    <row r="371" spans="1:14" ht="14.25" customHeight="1" x14ac:dyDescent="0.25">
      <c r="A371" s="235"/>
      <c r="F371" s="271"/>
      <c r="I371" s="271"/>
      <c r="J371" s="271"/>
      <c r="K371" s="235"/>
      <c r="M371" s="271"/>
      <c r="N371" s="235"/>
    </row>
    <row r="372" spans="1:14" ht="14.25" customHeight="1" x14ac:dyDescent="0.25">
      <c r="A372" s="235"/>
      <c r="F372" s="271"/>
      <c r="I372" s="271"/>
      <c r="J372" s="271"/>
      <c r="K372" s="235"/>
      <c r="M372" s="271"/>
      <c r="N372" s="235"/>
    </row>
    <row r="373" spans="1:14" ht="14.25" customHeight="1" x14ac:dyDescent="0.25">
      <c r="A373" s="235"/>
      <c r="F373" s="271"/>
      <c r="I373" s="271"/>
      <c r="J373" s="271"/>
      <c r="K373" s="235"/>
      <c r="M373" s="271"/>
      <c r="N373" s="235"/>
    </row>
    <row r="374" spans="1:14" ht="14.25" customHeight="1" x14ac:dyDescent="0.25">
      <c r="A374" s="235"/>
      <c r="F374" s="271"/>
      <c r="I374" s="271"/>
      <c r="J374" s="271"/>
      <c r="K374" s="235"/>
      <c r="M374" s="271"/>
      <c r="N374" s="235"/>
    </row>
    <row r="375" spans="1:14" ht="14.25" customHeight="1" x14ac:dyDescent="0.25">
      <c r="A375" s="235"/>
      <c r="F375" s="271"/>
      <c r="I375" s="271"/>
      <c r="J375" s="271"/>
      <c r="K375" s="235"/>
      <c r="M375" s="271"/>
      <c r="N375" s="235"/>
    </row>
    <row r="376" spans="1:14" ht="14.25" customHeight="1" x14ac:dyDescent="0.25">
      <c r="A376" s="235"/>
      <c r="F376" s="271"/>
      <c r="I376" s="271"/>
      <c r="J376" s="271"/>
      <c r="K376" s="235"/>
      <c r="M376" s="271"/>
      <c r="N376" s="235"/>
    </row>
    <row r="377" spans="1:14" ht="14.25" customHeight="1" x14ac:dyDescent="0.25">
      <c r="A377" s="235"/>
      <c r="F377" s="271"/>
      <c r="I377" s="271"/>
      <c r="J377" s="271"/>
      <c r="K377" s="235"/>
      <c r="M377" s="271"/>
      <c r="N377" s="235"/>
    </row>
    <row r="378" spans="1:14" ht="14.25" customHeight="1" x14ac:dyDescent="0.25">
      <c r="A378" s="235"/>
      <c r="F378" s="271"/>
      <c r="I378" s="271"/>
      <c r="J378" s="271"/>
      <c r="K378" s="235"/>
      <c r="M378" s="271"/>
      <c r="N378" s="235"/>
    </row>
    <row r="379" spans="1:14" ht="14.25" customHeight="1" x14ac:dyDescent="0.25">
      <c r="A379" s="235"/>
      <c r="F379" s="271"/>
      <c r="I379" s="271"/>
      <c r="J379" s="271"/>
      <c r="K379" s="235"/>
      <c r="M379" s="271"/>
      <c r="N379" s="235"/>
    </row>
    <row r="380" spans="1:14" ht="14.25" customHeight="1" x14ac:dyDescent="0.25">
      <c r="A380" s="235"/>
      <c r="F380" s="271"/>
      <c r="I380" s="271"/>
      <c r="J380" s="271"/>
      <c r="K380" s="235"/>
      <c r="M380" s="271"/>
      <c r="N380" s="235"/>
    </row>
    <row r="381" spans="1:14" ht="14.25" customHeight="1" x14ac:dyDescent="0.25">
      <c r="A381" s="235"/>
      <c r="F381" s="271"/>
      <c r="I381" s="271"/>
      <c r="J381" s="271"/>
      <c r="K381" s="235"/>
      <c r="M381" s="271"/>
      <c r="N381" s="235"/>
    </row>
    <row r="382" spans="1:14" ht="14.25" customHeight="1" x14ac:dyDescent="0.25">
      <c r="A382" s="235"/>
      <c r="F382" s="271"/>
      <c r="I382" s="271"/>
      <c r="J382" s="271"/>
      <c r="K382" s="235"/>
      <c r="M382" s="271"/>
      <c r="N382" s="235"/>
    </row>
    <row r="383" spans="1:14" ht="14.25" customHeight="1" x14ac:dyDescent="0.25">
      <c r="A383" s="235"/>
      <c r="F383" s="271"/>
      <c r="I383" s="271"/>
      <c r="J383" s="271"/>
      <c r="K383" s="235"/>
      <c r="M383" s="271"/>
      <c r="N383" s="235"/>
    </row>
    <row r="384" spans="1:14" ht="14.25" customHeight="1" x14ac:dyDescent="0.25">
      <c r="A384" s="235"/>
      <c r="F384" s="271"/>
      <c r="I384" s="271"/>
      <c r="J384" s="271"/>
      <c r="K384" s="235"/>
      <c r="M384" s="271"/>
      <c r="N384" s="235"/>
    </row>
    <row r="385" spans="1:14" ht="14.25" customHeight="1" x14ac:dyDescent="0.25">
      <c r="A385" s="235"/>
      <c r="F385" s="271"/>
      <c r="I385" s="271"/>
      <c r="J385" s="271"/>
      <c r="K385" s="235"/>
      <c r="M385" s="271"/>
      <c r="N385" s="235"/>
    </row>
    <row r="386" spans="1:14" ht="14.25" customHeight="1" x14ac:dyDescent="0.25">
      <c r="A386" s="235"/>
      <c r="F386" s="271"/>
      <c r="I386" s="271"/>
      <c r="J386" s="271"/>
      <c r="K386" s="235"/>
      <c r="M386" s="271"/>
      <c r="N386" s="235"/>
    </row>
    <row r="387" spans="1:14" ht="14.25" customHeight="1" x14ac:dyDescent="0.25">
      <c r="A387" s="235"/>
      <c r="F387" s="271"/>
      <c r="I387" s="271"/>
      <c r="J387" s="271"/>
      <c r="K387" s="235"/>
      <c r="M387" s="271"/>
      <c r="N387" s="235"/>
    </row>
    <row r="388" spans="1:14" ht="14.25" customHeight="1" x14ac:dyDescent="0.25">
      <c r="A388" s="235"/>
      <c r="F388" s="271"/>
      <c r="I388" s="271"/>
      <c r="J388" s="271"/>
      <c r="K388" s="235"/>
      <c r="M388" s="271"/>
      <c r="N388" s="235"/>
    </row>
    <row r="389" spans="1:14" ht="14.25" customHeight="1" x14ac:dyDescent="0.25">
      <c r="A389" s="235"/>
      <c r="F389" s="271"/>
      <c r="I389" s="271"/>
      <c r="J389" s="271"/>
      <c r="K389" s="235"/>
      <c r="M389" s="271"/>
      <c r="N389" s="235"/>
    </row>
    <row r="390" spans="1:14" ht="14.25" customHeight="1" x14ac:dyDescent="0.25">
      <c r="A390" s="235"/>
      <c r="F390" s="271"/>
      <c r="I390" s="271"/>
      <c r="J390" s="271"/>
      <c r="K390" s="235"/>
      <c r="M390" s="271"/>
      <c r="N390" s="235"/>
    </row>
    <row r="391" spans="1:14" ht="14.25" customHeight="1" x14ac:dyDescent="0.25">
      <c r="A391" s="235"/>
      <c r="F391" s="271"/>
      <c r="I391" s="271"/>
      <c r="J391" s="271"/>
      <c r="K391" s="235"/>
      <c r="M391" s="271"/>
      <c r="N391" s="235"/>
    </row>
    <row r="392" spans="1:14" ht="14.25" customHeight="1" x14ac:dyDescent="0.25">
      <c r="A392" s="235"/>
      <c r="F392" s="271"/>
      <c r="I392" s="271"/>
      <c r="J392" s="271"/>
      <c r="K392" s="235"/>
      <c r="M392" s="271"/>
      <c r="N392" s="235"/>
    </row>
    <row r="393" spans="1:14" ht="14.25" customHeight="1" x14ac:dyDescent="0.25">
      <c r="A393" s="235"/>
      <c r="F393" s="271"/>
      <c r="I393" s="271"/>
      <c r="J393" s="271"/>
      <c r="K393" s="235"/>
      <c r="M393" s="271"/>
      <c r="N393" s="235"/>
    </row>
    <row r="394" spans="1:14" ht="14.25" customHeight="1" x14ac:dyDescent="0.25">
      <c r="A394" s="235"/>
      <c r="F394" s="271"/>
      <c r="I394" s="271"/>
      <c r="J394" s="271"/>
      <c r="K394" s="235"/>
      <c r="M394" s="271"/>
      <c r="N394" s="235"/>
    </row>
    <row r="395" spans="1:14" ht="14.25" customHeight="1" x14ac:dyDescent="0.25">
      <c r="A395" s="235"/>
      <c r="F395" s="271"/>
      <c r="I395" s="271"/>
      <c r="J395" s="271"/>
      <c r="K395" s="235"/>
      <c r="M395" s="271"/>
      <c r="N395" s="235"/>
    </row>
    <row r="396" spans="1:14" ht="14.25" customHeight="1" x14ac:dyDescent="0.25">
      <c r="A396" s="235"/>
      <c r="F396" s="271"/>
      <c r="I396" s="271"/>
      <c r="J396" s="271"/>
      <c r="K396" s="235"/>
      <c r="M396" s="271"/>
      <c r="N396" s="235"/>
    </row>
    <row r="397" spans="1:14" ht="14.25" customHeight="1" x14ac:dyDescent="0.25">
      <c r="A397" s="235"/>
      <c r="F397" s="271"/>
      <c r="I397" s="271"/>
      <c r="J397" s="271"/>
      <c r="K397" s="235"/>
      <c r="M397" s="271"/>
      <c r="N397" s="235"/>
    </row>
    <row r="398" spans="1:14" ht="14.25" customHeight="1" x14ac:dyDescent="0.25">
      <c r="A398" s="235"/>
      <c r="F398" s="271"/>
      <c r="I398" s="271"/>
      <c r="J398" s="271"/>
      <c r="K398" s="235"/>
      <c r="M398" s="271"/>
      <c r="N398" s="235"/>
    </row>
    <row r="399" spans="1:14" ht="14.25" customHeight="1" x14ac:dyDescent="0.25">
      <c r="A399" s="235"/>
      <c r="F399" s="271"/>
      <c r="I399" s="271"/>
      <c r="J399" s="271"/>
      <c r="K399" s="235"/>
      <c r="M399" s="271"/>
      <c r="N399" s="235"/>
    </row>
    <row r="400" spans="1:14" ht="14.25" customHeight="1" x14ac:dyDescent="0.25">
      <c r="A400" s="235"/>
      <c r="F400" s="271"/>
      <c r="I400" s="271"/>
      <c r="J400" s="271"/>
      <c r="K400" s="235"/>
      <c r="M400" s="271"/>
      <c r="N400" s="235"/>
    </row>
    <row r="401" spans="1:14" ht="14.25" customHeight="1" x14ac:dyDescent="0.25">
      <c r="A401" s="235"/>
      <c r="F401" s="271"/>
      <c r="I401" s="271"/>
      <c r="J401" s="271"/>
      <c r="K401" s="235"/>
      <c r="M401" s="271"/>
      <c r="N401" s="235"/>
    </row>
    <row r="402" spans="1:14" ht="14.25" customHeight="1" x14ac:dyDescent="0.25">
      <c r="A402" s="235"/>
      <c r="F402" s="271"/>
      <c r="I402" s="271"/>
      <c r="J402" s="271"/>
      <c r="K402" s="235"/>
      <c r="M402" s="271"/>
      <c r="N402" s="235"/>
    </row>
    <row r="403" spans="1:14" ht="14.25" customHeight="1" x14ac:dyDescent="0.25">
      <c r="A403" s="235"/>
      <c r="F403" s="271"/>
      <c r="I403" s="271"/>
      <c r="J403" s="271"/>
      <c r="K403" s="235"/>
      <c r="M403" s="271"/>
      <c r="N403" s="235"/>
    </row>
    <row r="404" spans="1:14" ht="14.25" customHeight="1" x14ac:dyDescent="0.25">
      <c r="A404" s="235"/>
      <c r="F404" s="271"/>
      <c r="I404" s="271"/>
      <c r="J404" s="271"/>
      <c r="K404" s="235"/>
      <c r="M404" s="271"/>
      <c r="N404" s="235"/>
    </row>
    <row r="405" spans="1:14" ht="14.25" customHeight="1" x14ac:dyDescent="0.25">
      <c r="A405" s="235"/>
      <c r="F405" s="271"/>
      <c r="I405" s="271"/>
      <c r="J405" s="271"/>
      <c r="K405" s="235"/>
      <c r="M405" s="271"/>
      <c r="N405" s="235"/>
    </row>
    <row r="406" spans="1:14" ht="14.25" customHeight="1" x14ac:dyDescent="0.25">
      <c r="A406" s="235"/>
      <c r="F406" s="271"/>
      <c r="I406" s="271"/>
      <c r="J406" s="271"/>
      <c r="K406" s="235"/>
      <c r="M406" s="271"/>
      <c r="N406" s="235"/>
    </row>
    <row r="407" spans="1:14" ht="14.25" customHeight="1" x14ac:dyDescent="0.25">
      <c r="A407" s="235"/>
      <c r="F407" s="271"/>
      <c r="I407" s="271"/>
      <c r="J407" s="271"/>
      <c r="K407" s="235"/>
      <c r="M407" s="271"/>
      <c r="N407" s="235"/>
    </row>
    <row r="408" spans="1:14" ht="14.25" customHeight="1" x14ac:dyDescent="0.25">
      <c r="A408" s="235"/>
      <c r="F408" s="271"/>
      <c r="I408" s="271"/>
      <c r="J408" s="271"/>
      <c r="K408" s="235"/>
      <c r="M408" s="271"/>
      <c r="N408" s="235"/>
    </row>
    <row r="409" spans="1:14" ht="14.25" customHeight="1" x14ac:dyDescent="0.25">
      <c r="A409" s="235"/>
      <c r="F409" s="271"/>
      <c r="I409" s="271"/>
      <c r="J409" s="271"/>
      <c r="K409" s="235"/>
      <c r="M409" s="271"/>
      <c r="N409" s="235"/>
    </row>
    <row r="410" spans="1:14" ht="14.25" customHeight="1" x14ac:dyDescent="0.25">
      <c r="A410" s="235"/>
      <c r="F410" s="271"/>
      <c r="I410" s="271"/>
      <c r="J410" s="271"/>
      <c r="K410" s="235"/>
      <c r="M410" s="271"/>
      <c r="N410" s="235"/>
    </row>
    <row r="411" spans="1:14" ht="14.25" customHeight="1" x14ac:dyDescent="0.25">
      <c r="A411" s="235"/>
      <c r="F411" s="271"/>
      <c r="I411" s="271"/>
      <c r="J411" s="271"/>
      <c r="K411" s="235"/>
      <c r="M411" s="271"/>
      <c r="N411" s="235"/>
    </row>
    <row r="412" spans="1:14" ht="14.25" customHeight="1" x14ac:dyDescent="0.25">
      <c r="A412" s="235"/>
      <c r="F412" s="271"/>
      <c r="I412" s="271"/>
      <c r="J412" s="271"/>
      <c r="K412" s="235"/>
      <c r="M412" s="271"/>
      <c r="N412" s="235"/>
    </row>
    <row r="413" spans="1:14" ht="14.25" customHeight="1" x14ac:dyDescent="0.25">
      <c r="A413" s="235"/>
      <c r="F413" s="271"/>
      <c r="I413" s="271"/>
      <c r="J413" s="271"/>
      <c r="K413" s="235"/>
      <c r="M413" s="271"/>
      <c r="N413" s="235"/>
    </row>
    <row r="414" spans="1:14" ht="14.25" customHeight="1" x14ac:dyDescent="0.25">
      <c r="A414" s="235"/>
      <c r="F414" s="271"/>
      <c r="I414" s="271"/>
      <c r="J414" s="271"/>
      <c r="K414" s="235"/>
      <c r="M414" s="271"/>
      <c r="N414" s="235"/>
    </row>
    <row r="415" spans="1:14" ht="14.25" customHeight="1" x14ac:dyDescent="0.25">
      <c r="A415" s="235"/>
      <c r="F415" s="271"/>
      <c r="I415" s="271"/>
      <c r="J415" s="271"/>
      <c r="K415" s="235"/>
      <c r="M415" s="271"/>
      <c r="N415" s="235"/>
    </row>
    <row r="416" spans="1:14" ht="14.25" customHeight="1" x14ac:dyDescent="0.25">
      <c r="A416" s="235"/>
      <c r="F416" s="271"/>
      <c r="I416" s="271"/>
      <c r="J416" s="271"/>
      <c r="K416" s="235"/>
      <c r="M416" s="271"/>
      <c r="N416" s="235"/>
    </row>
    <row r="417" spans="1:14" ht="14.25" customHeight="1" x14ac:dyDescent="0.25">
      <c r="A417" s="235"/>
      <c r="F417" s="271"/>
      <c r="I417" s="271"/>
      <c r="J417" s="271"/>
      <c r="K417" s="235"/>
      <c r="M417" s="271"/>
      <c r="N417" s="235"/>
    </row>
    <row r="418" spans="1:14" ht="14.25" customHeight="1" x14ac:dyDescent="0.25">
      <c r="A418" s="235"/>
      <c r="F418" s="271"/>
      <c r="I418" s="271"/>
      <c r="J418" s="271"/>
      <c r="K418" s="235"/>
      <c r="M418" s="271"/>
      <c r="N418" s="235"/>
    </row>
    <row r="419" spans="1:14" ht="14.25" customHeight="1" x14ac:dyDescent="0.25">
      <c r="A419" s="235"/>
      <c r="F419" s="271"/>
      <c r="I419" s="271"/>
      <c r="J419" s="271"/>
      <c r="K419" s="235"/>
      <c r="M419" s="271"/>
      <c r="N419" s="235"/>
    </row>
    <row r="420" spans="1:14" ht="14.25" customHeight="1" x14ac:dyDescent="0.25">
      <c r="A420" s="235"/>
      <c r="F420" s="271"/>
      <c r="I420" s="271"/>
      <c r="J420" s="271"/>
      <c r="K420" s="235"/>
      <c r="M420" s="271"/>
      <c r="N420" s="235"/>
    </row>
    <row r="421" spans="1:14" ht="14.25" customHeight="1" x14ac:dyDescent="0.25">
      <c r="A421" s="235"/>
      <c r="F421" s="271"/>
      <c r="I421" s="271"/>
      <c r="J421" s="271"/>
      <c r="K421" s="235"/>
      <c r="M421" s="271"/>
      <c r="N421" s="235"/>
    </row>
    <row r="422" spans="1:14" ht="14.25" customHeight="1" x14ac:dyDescent="0.25">
      <c r="A422" s="235"/>
      <c r="F422" s="271"/>
      <c r="I422" s="271"/>
      <c r="J422" s="271"/>
      <c r="K422" s="235"/>
      <c r="M422" s="271"/>
      <c r="N422" s="235"/>
    </row>
    <row r="423" spans="1:14" ht="14.25" customHeight="1" x14ac:dyDescent="0.25">
      <c r="A423" s="235"/>
      <c r="F423" s="271"/>
      <c r="I423" s="271"/>
      <c r="J423" s="271"/>
      <c r="K423" s="235"/>
      <c r="M423" s="271"/>
      <c r="N423" s="235"/>
    </row>
    <row r="424" spans="1:14" ht="14.25" customHeight="1" x14ac:dyDescent="0.25">
      <c r="A424" s="235"/>
      <c r="F424" s="271"/>
      <c r="I424" s="271"/>
      <c r="J424" s="271"/>
      <c r="K424" s="235"/>
      <c r="M424" s="271"/>
      <c r="N424" s="235"/>
    </row>
    <row r="425" spans="1:14" ht="14.25" customHeight="1" x14ac:dyDescent="0.25">
      <c r="A425" s="235"/>
      <c r="F425" s="271"/>
      <c r="I425" s="271"/>
      <c r="J425" s="271"/>
      <c r="K425" s="235"/>
      <c r="M425" s="271"/>
      <c r="N425" s="235"/>
    </row>
    <row r="426" spans="1:14" ht="14.25" customHeight="1" x14ac:dyDescent="0.25">
      <c r="A426" s="235"/>
      <c r="F426" s="271"/>
      <c r="I426" s="271"/>
      <c r="J426" s="271"/>
      <c r="K426" s="235"/>
      <c r="M426" s="271"/>
      <c r="N426" s="235"/>
    </row>
    <row r="427" spans="1:14" ht="14.25" customHeight="1" x14ac:dyDescent="0.25">
      <c r="A427" s="235"/>
      <c r="F427" s="271"/>
      <c r="I427" s="271"/>
      <c r="J427" s="271"/>
      <c r="K427" s="235"/>
      <c r="M427" s="271"/>
      <c r="N427" s="235"/>
    </row>
    <row r="428" spans="1:14" ht="14.25" customHeight="1" x14ac:dyDescent="0.25">
      <c r="A428" s="235"/>
      <c r="F428" s="271"/>
      <c r="I428" s="271"/>
      <c r="J428" s="271"/>
      <c r="K428" s="235"/>
      <c r="M428" s="271"/>
      <c r="N428" s="235"/>
    </row>
    <row r="429" spans="1:14" ht="14.25" customHeight="1" x14ac:dyDescent="0.25">
      <c r="A429" s="235"/>
      <c r="F429" s="271"/>
      <c r="I429" s="271"/>
      <c r="J429" s="271"/>
      <c r="K429" s="235"/>
      <c r="M429" s="271"/>
      <c r="N429" s="235"/>
    </row>
    <row r="430" spans="1:14" ht="14.25" customHeight="1" x14ac:dyDescent="0.25">
      <c r="A430" s="235"/>
      <c r="F430" s="271"/>
      <c r="I430" s="271"/>
      <c r="J430" s="271"/>
      <c r="K430" s="235"/>
      <c r="M430" s="271"/>
      <c r="N430" s="235"/>
    </row>
    <row r="431" spans="1:14" ht="14.25" customHeight="1" x14ac:dyDescent="0.25">
      <c r="A431" s="235"/>
      <c r="F431" s="271"/>
      <c r="I431" s="271"/>
      <c r="J431" s="271"/>
      <c r="K431" s="235"/>
      <c r="M431" s="271"/>
      <c r="N431" s="235"/>
    </row>
    <row r="432" spans="1:14" ht="14.25" customHeight="1" x14ac:dyDescent="0.25">
      <c r="A432" s="235"/>
      <c r="F432" s="271"/>
      <c r="I432" s="271"/>
      <c r="J432" s="271"/>
      <c r="K432" s="235"/>
      <c r="M432" s="271"/>
      <c r="N432" s="235"/>
    </row>
    <row r="433" spans="1:14" ht="14.25" customHeight="1" x14ac:dyDescent="0.25">
      <c r="A433" s="235"/>
      <c r="F433" s="271"/>
      <c r="I433" s="271"/>
      <c r="J433" s="271"/>
      <c r="K433" s="235"/>
      <c r="M433" s="271"/>
      <c r="N433" s="235"/>
    </row>
    <row r="434" spans="1:14" ht="14.25" customHeight="1" x14ac:dyDescent="0.25">
      <c r="A434" s="235"/>
      <c r="F434" s="271"/>
      <c r="I434" s="271"/>
      <c r="J434" s="271"/>
      <c r="K434" s="235"/>
      <c r="M434" s="271"/>
      <c r="N434" s="235"/>
    </row>
    <row r="435" spans="1:14" ht="14.25" customHeight="1" x14ac:dyDescent="0.25">
      <c r="A435" s="235"/>
      <c r="F435" s="271"/>
      <c r="I435" s="271"/>
      <c r="J435" s="271"/>
      <c r="K435" s="235"/>
      <c r="M435" s="271"/>
      <c r="N435" s="235"/>
    </row>
    <row r="436" spans="1:14" ht="14.25" customHeight="1" x14ac:dyDescent="0.25">
      <c r="A436" s="235"/>
      <c r="F436" s="271"/>
      <c r="I436" s="271"/>
      <c r="J436" s="271"/>
      <c r="K436" s="235"/>
      <c r="M436" s="271"/>
      <c r="N436" s="235"/>
    </row>
    <row r="437" spans="1:14" ht="14.25" customHeight="1" x14ac:dyDescent="0.25">
      <c r="A437" s="235"/>
      <c r="F437" s="271"/>
      <c r="I437" s="271"/>
      <c r="J437" s="271"/>
      <c r="K437" s="235"/>
      <c r="M437" s="271"/>
      <c r="N437" s="235"/>
    </row>
    <row r="438" spans="1:14" ht="14.25" customHeight="1" x14ac:dyDescent="0.25">
      <c r="A438" s="235"/>
      <c r="F438" s="271"/>
      <c r="I438" s="271"/>
      <c r="J438" s="271"/>
      <c r="K438" s="235"/>
      <c r="M438" s="271"/>
      <c r="N438" s="235"/>
    </row>
    <row r="439" spans="1:14" ht="14.25" customHeight="1" x14ac:dyDescent="0.25">
      <c r="A439" s="235"/>
      <c r="F439" s="271"/>
      <c r="I439" s="271"/>
      <c r="J439" s="271"/>
      <c r="K439" s="235"/>
      <c r="M439" s="271"/>
      <c r="N439" s="235"/>
    </row>
    <row r="440" spans="1:14" ht="14.25" customHeight="1" x14ac:dyDescent="0.25">
      <c r="A440" s="235"/>
      <c r="F440" s="271"/>
      <c r="I440" s="271"/>
      <c r="J440" s="271"/>
      <c r="K440" s="235"/>
      <c r="M440" s="271"/>
      <c r="N440" s="235"/>
    </row>
    <row r="441" spans="1:14" ht="14.25" customHeight="1" x14ac:dyDescent="0.25">
      <c r="A441" s="235"/>
      <c r="F441" s="271"/>
      <c r="I441" s="271"/>
      <c r="J441" s="271"/>
      <c r="K441" s="235"/>
      <c r="M441" s="271"/>
      <c r="N441" s="235"/>
    </row>
    <row r="442" spans="1:14" ht="14.25" customHeight="1" x14ac:dyDescent="0.25">
      <c r="A442" s="235"/>
      <c r="F442" s="271"/>
      <c r="I442" s="271"/>
      <c r="J442" s="271"/>
      <c r="K442" s="235"/>
      <c r="M442" s="271"/>
      <c r="N442" s="235"/>
    </row>
    <row r="443" spans="1:14" ht="14.25" customHeight="1" x14ac:dyDescent="0.25">
      <c r="A443" s="235"/>
      <c r="F443" s="271"/>
      <c r="I443" s="271"/>
      <c r="J443" s="271"/>
      <c r="K443" s="235"/>
      <c r="M443" s="271"/>
      <c r="N443" s="235"/>
    </row>
    <row r="444" spans="1:14" ht="14.25" customHeight="1" x14ac:dyDescent="0.25">
      <c r="A444" s="235"/>
      <c r="F444" s="271"/>
      <c r="I444" s="271"/>
      <c r="J444" s="271"/>
      <c r="K444" s="235"/>
      <c r="M444" s="271"/>
      <c r="N444" s="235"/>
    </row>
    <row r="445" spans="1:14" ht="14.25" customHeight="1" x14ac:dyDescent="0.25">
      <c r="A445" s="235"/>
      <c r="F445" s="271"/>
      <c r="I445" s="271"/>
      <c r="J445" s="271"/>
      <c r="K445" s="235"/>
      <c r="M445" s="271"/>
      <c r="N445" s="235"/>
    </row>
    <row r="446" spans="1:14" ht="14.25" customHeight="1" x14ac:dyDescent="0.25">
      <c r="A446" s="235"/>
      <c r="F446" s="271"/>
      <c r="I446" s="271"/>
      <c r="J446" s="271"/>
      <c r="K446" s="235"/>
      <c r="M446" s="271"/>
      <c r="N446" s="235"/>
    </row>
    <row r="447" spans="1:14" ht="14.25" customHeight="1" x14ac:dyDescent="0.25">
      <c r="A447" s="235"/>
      <c r="F447" s="271"/>
      <c r="I447" s="271"/>
      <c r="J447" s="271"/>
      <c r="K447" s="235"/>
      <c r="M447" s="271"/>
      <c r="N447" s="235"/>
    </row>
    <row r="448" spans="1:14" ht="14.25" customHeight="1" x14ac:dyDescent="0.25">
      <c r="A448" s="235"/>
      <c r="F448" s="271"/>
      <c r="I448" s="271"/>
      <c r="J448" s="271"/>
      <c r="K448" s="235"/>
      <c r="M448" s="271"/>
      <c r="N448" s="235"/>
    </row>
    <row r="449" spans="1:14" ht="14.25" customHeight="1" x14ac:dyDescent="0.25">
      <c r="A449" s="235"/>
      <c r="F449" s="271"/>
      <c r="I449" s="271"/>
      <c r="J449" s="271"/>
      <c r="K449" s="235"/>
      <c r="M449" s="271"/>
      <c r="N449" s="235"/>
    </row>
    <row r="450" spans="1:14" ht="14.25" customHeight="1" x14ac:dyDescent="0.25">
      <c r="A450" s="235"/>
      <c r="F450" s="271"/>
      <c r="I450" s="271"/>
      <c r="J450" s="271"/>
      <c r="K450" s="235"/>
      <c r="M450" s="271"/>
      <c r="N450" s="235"/>
    </row>
    <row r="451" spans="1:14" ht="14.25" customHeight="1" x14ac:dyDescent="0.25">
      <c r="A451" s="235"/>
      <c r="F451" s="271"/>
      <c r="I451" s="271"/>
      <c r="J451" s="271"/>
      <c r="K451" s="235"/>
      <c r="M451" s="271"/>
      <c r="N451" s="235"/>
    </row>
    <row r="452" spans="1:14" ht="14.25" customHeight="1" x14ac:dyDescent="0.25">
      <c r="A452" s="235"/>
      <c r="F452" s="271"/>
      <c r="I452" s="271"/>
      <c r="J452" s="271"/>
      <c r="K452" s="235"/>
      <c r="M452" s="271"/>
      <c r="N452" s="235"/>
    </row>
    <row r="453" spans="1:14" ht="14.25" customHeight="1" x14ac:dyDescent="0.25">
      <c r="A453" s="235"/>
      <c r="F453" s="271"/>
      <c r="I453" s="271"/>
      <c r="J453" s="271"/>
      <c r="K453" s="235"/>
      <c r="M453" s="271"/>
      <c r="N453" s="235"/>
    </row>
    <row r="454" spans="1:14" ht="14.25" customHeight="1" x14ac:dyDescent="0.25">
      <c r="A454" s="235"/>
      <c r="F454" s="271"/>
      <c r="I454" s="271"/>
      <c r="J454" s="271"/>
      <c r="K454" s="235"/>
      <c r="M454" s="271"/>
      <c r="N454" s="235"/>
    </row>
    <row r="455" spans="1:14" ht="14.25" customHeight="1" x14ac:dyDescent="0.25">
      <c r="A455" s="235"/>
      <c r="F455" s="271"/>
      <c r="I455" s="271"/>
      <c r="J455" s="271"/>
      <c r="K455" s="235"/>
      <c r="M455" s="271"/>
      <c r="N455" s="235"/>
    </row>
    <row r="456" spans="1:14" ht="14.25" customHeight="1" x14ac:dyDescent="0.25">
      <c r="A456" s="235"/>
      <c r="F456" s="271"/>
      <c r="I456" s="271"/>
      <c r="J456" s="271"/>
      <c r="K456" s="235"/>
      <c r="M456" s="271"/>
      <c r="N456" s="235"/>
    </row>
    <row r="457" spans="1:14" ht="14.25" customHeight="1" x14ac:dyDescent="0.25">
      <c r="A457" s="235"/>
      <c r="F457" s="271"/>
      <c r="I457" s="271"/>
      <c r="J457" s="271"/>
      <c r="K457" s="235"/>
      <c r="M457" s="271"/>
      <c r="N457" s="235"/>
    </row>
    <row r="458" spans="1:14" ht="14.25" customHeight="1" x14ac:dyDescent="0.25">
      <c r="A458" s="235"/>
      <c r="F458" s="271"/>
      <c r="I458" s="271"/>
      <c r="J458" s="271"/>
      <c r="K458" s="235"/>
      <c r="M458" s="271"/>
      <c r="N458" s="235"/>
    </row>
    <row r="459" spans="1:14" ht="14.25" customHeight="1" x14ac:dyDescent="0.25">
      <c r="A459" s="235"/>
      <c r="F459" s="271"/>
      <c r="I459" s="271"/>
      <c r="J459" s="271"/>
      <c r="K459" s="235"/>
      <c r="M459" s="271"/>
      <c r="N459" s="235"/>
    </row>
    <row r="460" spans="1:14" ht="14.25" customHeight="1" x14ac:dyDescent="0.25">
      <c r="A460" s="235"/>
      <c r="F460" s="271"/>
      <c r="I460" s="271"/>
      <c r="J460" s="271"/>
      <c r="K460" s="235"/>
      <c r="M460" s="271"/>
      <c r="N460" s="235"/>
    </row>
    <row r="461" spans="1:14" ht="14.25" customHeight="1" x14ac:dyDescent="0.25">
      <c r="A461" s="235"/>
      <c r="F461" s="271"/>
      <c r="I461" s="271"/>
      <c r="J461" s="271"/>
      <c r="K461" s="235"/>
      <c r="M461" s="271"/>
      <c r="N461" s="235"/>
    </row>
    <row r="462" spans="1:14" ht="14.25" customHeight="1" x14ac:dyDescent="0.25">
      <c r="A462" s="235"/>
      <c r="F462" s="271"/>
      <c r="I462" s="271"/>
      <c r="J462" s="271"/>
      <c r="K462" s="235"/>
      <c r="M462" s="271"/>
      <c r="N462" s="235"/>
    </row>
    <row r="463" spans="1:14" ht="14.25" customHeight="1" x14ac:dyDescent="0.25">
      <c r="A463" s="235"/>
      <c r="F463" s="271"/>
      <c r="I463" s="271"/>
      <c r="J463" s="271"/>
      <c r="K463" s="235"/>
      <c r="M463" s="271"/>
      <c r="N463" s="235"/>
    </row>
    <row r="464" spans="1:14" ht="14.25" customHeight="1" x14ac:dyDescent="0.25">
      <c r="A464" s="235"/>
      <c r="F464" s="271"/>
      <c r="I464" s="271"/>
      <c r="J464" s="271"/>
      <c r="K464" s="235"/>
      <c r="M464" s="271"/>
      <c r="N464" s="235"/>
    </row>
    <row r="465" spans="1:14" ht="14.25" customHeight="1" x14ac:dyDescent="0.25">
      <c r="A465" s="235"/>
      <c r="F465" s="271"/>
      <c r="I465" s="271"/>
      <c r="J465" s="271"/>
      <c r="K465" s="235"/>
      <c r="M465" s="271"/>
      <c r="N465" s="235"/>
    </row>
    <row r="466" spans="1:14" ht="14.25" customHeight="1" x14ac:dyDescent="0.25">
      <c r="A466" s="235"/>
      <c r="F466" s="271"/>
      <c r="I466" s="271"/>
      <c r="J466" s="271"/>
      <c r="K466" s="235"/>
      <c r="M466" s="271"/>
      <c r="N466" s="235"/>
    </row>
    <row r="467" spans="1:14" ht="14.25" customHeight="1" x14ac:dyDescent="0.25">
      <c r="A467" s="235"/>
      <c r="F467" s="271"/>
      <c r="I467" s="271"/>
      <c r="J467" s="271"/>
      <c r="K467" s="235"/>
      <c r="M467" s="271"/>
      <c r="N467" s="235"/>
    </row>
    <row r="468" spans="1:14" ht="14.25" customHeight="1" x14ac:dyDescent="0.25">
      <c r="A468" s="235"/>
      <c r="F468" s="271"/>
      <c r="I468" s="271"/>
      <c r="J468" s="271"/>
      <c r="K468" s="235"/>
      <c r="M468" s="271"/>
      <c r="N468" s="235"/>
    </row>
    <row r="469" spans="1:14" ht="14.25" customHeight="1" x14ac:dyDescent="0.25">
      <c r="A469" s="235"/>
      <c r="F469" s="271"/>
      <c r="I469" s="271"/>
      <c r="J469" s="271"/>
      <c r="K469" s="235"/>
      <c r="M469" s="271"/>
      <c r="N469" s="235"/>
    </row>
    <row r="470" spans="1:14" ht="14.25" customHeight="1" x14ac:dyDescent="0.25">
      <c r="A470" s="235"/>
      <c r="F470" s="271"/>
      <c r="I470" s="271"/>
      <c r="J470" s="271"/>
      <c r="K470" s="235"/>
      <c r="M470" s="271"/>
      <c r="N470" s="235"/>
    </row>
    <row r="471" spans="1:14" ht="14.25" customHeight="1" x14ac:dyDescent="0.25">
      <c r="A471" s="235"/>
      <c r="F471" s="271"/>
      <c r="I471" s="271"/>
      <c r="J471" s="271"/>
      <c r="K471" s="235"/>
      <c r="M471" s="271"/>
      <c r="N471" s="235"/>
    </row>
    <row r="472" spans="1:14" ht="14.25" customHeight="1" x14ac:dyDescent="0.25">
      <c r="A472" s="235"/>
      <c r="F472" s="271"/>
      <c r="I472" s="271"/>
      <c r="J472" s="271"/>
      <c r="K472" s="235"/>
      <c r="M472" s="271"/>
      <c r="N472" s="235"/>
    </row>
    <row r="473" spans="1:14" ht="14.25" customHeight="1" x14ac:dyDescent="0.25">
      <c r="A473" s="235"/>
      <c r="F473" s="271"/>
      <c r="I473" s="271"/>
      <c r="J473" s="271"/>
      <c r="K473" s="235"/>
      <c r="M473" s="271"/>
      <c r="N473" s="235"/>
    </row>
    <row r="474" spans="1:14" ht="14.25" customHeight="1" x14ac:dyDescent="0.25">
      <c r="A474" s="235"/>
      <c r="F474" s="271"/>
      <c r="I474" s="271"/>
      <c r="J474" s="271"/>
      <c r="K474" s="235"/>
      <c r="M474" s="271"/>
      <c r="N474" s="235"/>
    </row>
    <row r="475" spans="1:14" ht="14.25" customHeight="1" x14ac:dyDescent="0.25">
      <c r="A475" s="235"/>
      <c r="F475" s="271"/>
      <c r="I475" s="271"/>
      <c r="J475" s="271"/>
      <c r="K475" s="235"/>
      <c r="M475" s="271"/>
      <c r="N475" s="235"/>
    </row>
    <row r="476" spans="1:14" ht="14.25" customHeight="1" x14ac:dyDescent="0.25">
      <c r="A476" s="235"/>
      <c r="F476" s="271"/>
      <c r="I476" s="271"/>
      <c r="J476" s="271"/>
      <c r="K476" s="235"/>
      <c r="M476" s="271"/>
      <c r="N476" s="235"/>
    </row>
    <row r="477" spans="1:14" ht="14.25" customHeight="1" x14ac:dyDescent="0.25">
      <c r="A477" s="235"/>
      <c r="F477" s="271"/>
      <c r="I477" s="271"/>
      <c r="J477" s="271"/>
      <c r="K477" s="235"/>
      <c r="M477" s="271"/>
      <c r="N477" s="235"/>
    </row>
    <row r="478" spans="1:14" ht="14.25" customHeight="1" x14ac:dyDescent="0.25">
      <c r="A478" s="235"/>
      <c r="F478" s="271"/>
      <c r="I478" s="271"/>
      <c r="J478" s="271"/>
      <c r="K478" s="235"/>
      <c r="M478" s="271"/>
      <c r="N478" s="235"/>
    </row>
    <row r="479" spans="1:14" ht="14.25" customHeight="1" x14ac:dyDescent="0.25">
      <c r="A479" s="235"/>
      <c r="F479" s="271"/>
      <c r="I479" s="271"/>
      <c r="J479" s="271"/>
      <c r="K479" s="235"/>
      <c r="M479" s="271"/>
      <c r="N479" s="235"/>
    </row>
    <row r="480" spans="1:14" ht="14.25" customHeight="1" x14ac:dyDescent="0.25">
      <c r="A480" s="235"/>
      <c r="F480" s="271"/>
      <c r="I480" s="271"/>
      <c r="J480" s="271"/>
      <c r="K480" s="235"/>
      <c r="M480" s="271"/>
      <c r="N480" s="235"/>
    </row>
    <row r="481" spans="1:14" ht="14.25" customHeight="1" x14ac:dyDescent="0.25">
      <c r="A481" s="235"/>
      <c r="F481" s="271"/>
      <c r="I481" s="271"/>
      <c r="J481" s="271"/>
      <c r="K481" s="235"/>
      <c r="M481" s="271"/>
      <c r="N481" s="235"/>
    </row>
    <row r="482" spans="1:14" ht="14.25" customHeight="1" x14ac:dyDescent="0.25">
      <c r="A482" s="235"/>
      <c r="F482" s="271"/>
      <c r="I482" s="271"/>
      <c r="J482" s="271"/>
      <c r="K482" s="235"/>
      <c r="M482" s="271"/>
      <c r="N482" s="235"/>
    </row>
    <row r="483" spans="1:14" ht="14.25" customHeight="1" x14ac:dyDescent="0.25">
      <c r="A483" s="235"/>
      <c r="F483" s="271"/>
      <c r="I483" s="271"/>
      <c r="J483" s="271"/>
      <c r="K483" s="235"/>
      <c r="M483" s="271"/>
      <c r="N483" s="235"/>
    </row>
    <row r="484" spans="1:14" ht="14.25" customHeight="1" x14ac:dyDescent="0.25">
      <c r="A484" s="235"/>
      <c r="F484" s="271"/>
      <c r="I484" s="271"/>
      <c r="J484" s="271"/>
      <c r="K484" s="235"/>
      <c r="M484" s="271"/>
      <c r="N484" s="235"/>
    </row>
    <row r="485" spans="1:14" ht="14.25" customHeight="1" x14ac:dyDescent="0.25">
      <c r="A485" s="235"/>
      <c r="F485" s="271"/>
      <c r="I485" s="271"/>
      <c r="J485" s="271"/>
      <c r="K485" s="235"/>
      <c r="M485" s="271"/>
      <c r="N485" s="235"/>
    </row>
    <row r="486" spans="1:14" ht="14.25" customHeight="1" x14ac:dyDescent="0.25">
      <c r="A486" s="235"/>
      <c r="F486" s="271"/>
      <c r="I486" s="271"/>
      <c r="J486" s="271"/>
      <c r="K486" s="235"/>
      <c r="M486" s="271"/>
      <c r="N486" s="235"/>
    </row>
    <row r="487" spans="1:14" ht="14.25" customHeight="1" x14ac:dyDescent="0.25">
      <c r="A487" s="235"/>
      <c r="F487" s="271"/>
      <c r="I487" s="271"/>
      <c r="J487" s="271"/>
      <c r="K487" s="235"/>
      <c r="M487" s="271"/>
      <c r="N487" s="235"/>
    </row>
    <row r="488" spans="1:14" ht="14.25" customHeight="1" x14ac:dyDescent="0.25">
      <c r="A488" s="235"/>
      <c r="F488" s="271"/>
      <c r="I488" s="271"/>
      <c r="J488" s="271"/>
      <c r="K488" s="235"/>
      <c r="M488" s="271"/>
      <c r="N488" s="235"/>
    </row>
    <row r="489" spans="1:14" ht="14.25" customHeight="1" x14ac:dyDescent="0.25">
      <c r="A489" s="235"/>
      <c r="F489" s="271"/>
      <c r="I489" s="271"/>
      <c r="J489" s="271"/>
      <c r="K489" s="235"/>
      <c r="M489" s="271"/>
      <c r="N489" s="235"/>
    </row>
    <row r="490" spans="1:14" ht="14.25" customHeight="1" x14ac:dyDescent="0.25">
      <c r="A490" s="235"/>
      <c r="F490" s="271"/>
      <c r="I490" s="271"/>
      <c r="J490" s="271"/>
      <c r="K490" s="235"/>
      <c r="M490" s="271"/>
      <c r="N490" s="235"/>
    </row>
    <row r="491" spans="1:14" ht="14.25" customHeight="1" x14ac:dyDescent="0.25">
      <c r="A491" s="235"/>
      <c r="F491" s="271"/>
      <c r="I491" s="271"/>
      <c r="J491" s="271"/>
      <c r="K491" s="235"/>
      <c r="M491" s="271"/>
      <c r="N491" s="235"/>
    </row>
    <row r="492" spans="1:14" ht="14.25" customHeight="1" x14ac:dyDescent="0.25">
      <c r="A492" s="235"/>
      <c r="F492" s="271"/>
      <c r="I492" s="271"/>
      <c r="J492" s="271"/>
      <c r="K492" s="235"/>
      <c r="M492" s="271"/>
      <c r="N492" s="235"/>
    </row>
    <row r="493" spans="1:14" ht="14.25" customHeight="1" x14ac:dyDescent="0.25">
      <c r="A493" s="235"/>
      <c r="F493" s="271"/>
      <c r="I493" s="271"/>
      <c r="J493" s="271"/>
      <c r="K493" s="235"/>
      <c r="M493" s="271"/>
      <c r="N493" s="235"/>
    </row>
    <row r="494" spans="1:14" ht="14.25" customHeight="1" x14ac:dyDescent="0.25">
      <c r="A494" s="235"/>
      <c r="F494" s="271"/>
      <c r="I494" s="271"/>
      <c r="J494" s="271"/>
      <c r="K494" s="235"/>
      <c r="M494" s="271"/>
      <c r="N494" s="235"/>
    </row>
    <row r="495" spans="1:14" ht="14.25" customHeight="1" x14ac:dyDescent="0.25">
      <c r="A495" s="235"/>
      <c r="F495" s="271"/>
      <c r="I495" s="271"/>
      <c r="J495" s="271"/>
      <c r="K495" s="235"/>
      <c r="M495" s="271"/>
      <c r="N495" s="235"/>
    </row>
    <row r="496" spans="1:14" ht="14.25" customHeight="1" x14ac:dyDescent="0.25">
      <c r="A496" s="235"/>
      <c r="F496" s="271"/>
      <c r="I496" s="271"/>
      <c r="J496" s="271"/>
      <c r="K496" s="235"/>
      <c r="M496" s="271"/>
      <c r="N496" s="235"/>
    </row>
    <row r="497" spans="1:14" ht="14.25" customHeight="1" x14ac:dyDescent="0.25">
      <c r="A497" s="235"/>
      <c r="F497" s="271"/>
      <c r="I497" s="271"/>
      <c r="J497" s="271"/>
      <c r="K497" s="235"/>
      <c r="M497" s="271"/>
      <c r="N497" s="235"/>
    </row>
    <row r="498" spans="1:14" ht="14.25" customHeight="1" x14ac:dyDescent="0.25">
      <c r="A498" s="235"/>
      <c r="F498" s="271"/>
      <c r="I498" s="271"/>
      <c r="J498" s="271"/>
      <c r="K498" s="235"/>
      <c r="M498" s="271"/>
      <c r="N498" s="235"/>
    </row>
    <row r="499" spans="1:14" ht="14.25" customHeight="1" x14ac:dyDescent="0.25">
      <c r="A499" s="235"/>
      <c r="F499" s="271"/>
      <c r="I499" s="271"/>
      <c r="J499" s="271"/>
      <c r="K499" s="235"/>
      <c r="M499" s="271"/>
      <c r="N499" s="235"/>
    </row>
    <row r="500" spans="1:14" ht="14.25" customHeight="1" x14ac:dyDescent="0.25">
      <c r="A500" s="235"/>
      <c r="F500" s="271"/>
      <c r="I500" s="271"/>
      <c r="J500" s="271"/>
      <c r="K500" s="235"/>
      <c r="M500" s="271"/>
      <c r="N500" s="235"/>
    </row>
    <row r="501" spans="1:14" ht="14.25" customHeight="1" x14ac:dyDescent="0.25">
      <c r="A501" s="235"/>
      <c r="F501" s="271"/>
      <c r="I501" s="271"/>
      <c r="J501" s="271"/>
      <c r="K501" s="235"/>
      <c r="M501" s="271"/>
      <c r="N501" s="235"/>
    </row>
    <row r="502" spans="1:14" ht="14.25" customHeight="1" x14ac:dyDescent="0.25">
      <c r="A502" s="235"/>
      <c r="F502" s="271"/>
      <c r="I502" s="271"/>
      <c r="J502" s="271"/>
      <c r="K502" s="235"/>
      <c r="M502" s="271"/>
      <c r="N502" s="235"/>
    </row>
    <row r="503" spans="1:14" ht="14.25" customHeight="1" x14ac:dyDescent="0.25">
      <c r="A503" s="235"/>
      <c r="F503" s="271"/>
      <c r="I503" s="271"/>
      <c r="J503" s="271"/>
      <c r="K503" s="235"/>
      <c r="M503" s="271"/>
      <c r="N503" s="235"/>
    </row>
    <row r="504" spans="1:14" ht="14.25" customHeight="1" x14ac:dyDescent="0.25">
      <c r="A504" s="235"/>
      <c r="F504" s="271"/>
      <c r="I504" s="271"/>
      <c r="J504" s="271"/>
      <c r="K504" s="235"/>
      <c r="M504" s="271"/>
      <c r="N504" s="235"/>
    </row>
    <row r="505" spans="1:14" ht="14.25" customHeight="1" x14ac:dyDescent="0.25">
      <c r="A505" s="235"/>
      <c r="F505" s="271"/>
      <c r="I505" s="271"/>
      <c r="J505" s="271"/>
      <c r="K505" s="235"/>
      <c r="M505" s="271"/>
      <c r="N505" s="235"/>
    </row>
    <row r="506" spans="1:14" ht="14.25" customHeight="1" x14ac:dyDescent="0.25">
      <c r="A506" s="235"/>
      <c r="F506" s="271"/>
      <c r="I506" s="271"/>
      <c r="J506" s="271"/>
      <c r="K506" s="235"/>
      <c r="M506" s="271"/>
      <c r="N506" s="235"/>
    </row>
    <row r="507" spans="1:14" ht="14.25" customHeight="1" x14ac:dyDescent="0.25">
      <c r="A507" s="235"/>
      <c r="F507" s="271"/>
      <c r="I507" s="271"/>
      <c r="J507" s="271"/>
      <c r="K507" s="235"/>
      <c r="M507" s="271"/>
      <c r="N507" s="235"/>
    </row>
    <row r="508" spans="1:14" ht="14.25" customHeight="1" x14ac:dyDescent="0.25">
      <c r="A508" s="235"/>
      <c r="F508" s="271"/>
      <c r="I508" s="271"/>
      <c r="J508" s="271"/>
      <c r="K508" s="235"/>
      <c r="M508" s="271"/>
      <c r="N508" s="235"/>
    </row>
    <row r="509" spans="1:14" ht="14.25" customHeight="1" x14ac:dyDescent="0.25">
      <c r="A509" s="235"/>
      <c r="F509" s="271"/>
      <c r="I509" s="271"/>
      <c r="J509" s="271"/>
      <c r="K509" s="235"/>
      <c r="M509" s="271"/>
      <c r="N509" s="235"/>
    </row>
    <row r="510" spans="1:14" ht="14.25" customHeight="1" x14ac:dyDescent="0.25">
      <c r="A510" s="235"/>
      <c r="F510" s="271"/>
      <c r="I510" s="271"/>
      <c r="J510" s="271"/>
      <c r="K510" s="235"/>
      <c r="M510" s="271"/>
      <c r="N510" s="235"/>
    </row>
    <row r="511" spans="1:14" ht="14.25" customHeight="1" x14ac:dyDescent="0.25">
      <c r="A511" s="235"/>
      <c r="F511" s="271"/>
      <c r="I511" s="271"/>
      <c r="J511" s="271"/>
      <c r="K511" s="235"/>
      <c r="M511" s="271"/>
      <c r="N511" s="235"/>
    </row>
    <row r="512" spans="1:14" ht="14.25" customHeight="1" x14ac:dyDescent="0.25">
      <c r="A512" s="235"/>
      <c r="F512" s="271"/>
      <c r="I512" s="271"/>
      <c r="J512" s="271"/>
      <c r="K512" s="235"/>
      <c r="M512" s="271"/>
      <c r="N512" s="235"/>
    </row>
    <row r="513" spans="1:14" ht="14.25" customHeight="1" x14ac:dyDescent="0.25">
      <c r="A513" s="235"/>
      <c r="F513" s="271"/>
      <c r="I513" s="271"/>
      <c r="J513" s="271"/>
      <c r="K513" s="235"/>
      <c r="M513" s="271"/>
      <c r="N513" s="235"/>
    </row>
    <row r="514" spans="1:14" ht="14.25" customHeight="1" x14ac:dyDescent="0.25">
      <c r="A514" s="235"/>
      <c r="F514" s="271"/>
      <c r="I514" s="271"/>
      <c r="J514" s="271"/>
      <c r="K514" s="235"/>
      <c r="M514" s="271"/>
      <c r="N514" s="235"/>
    </row>
    <row r="515" spans="1:14" ht="14.25" customHeight="1" x14ac:dyDescent="0.25">
      <c r="A515" s="235"/>
      <c r="F515" s="271"/>
      <c r="I515" s="271"/>
      <c r="J515" s="271"/>
      <c r="K515" s="235"/>
      <c r="M515" s="271"/>
      <c r="N515" s="235"/>
    </row>
    <row r="516" spans="1:14" ht="14.25" customHeight="1" x14ac:dyDescent="0.25">
      <c r="A516" s="235"/>
      <c r="F516" s="271"/>
      <c r="I516" s="271"/>
      <c r="J516" s="271"/>
      <c r="K516" s="235"/>
      <c r="M516" s="271"/>
      <c r="N516" s="235"/>
    </row>
    <row r="517" spans="1:14" ht="14.25" customHeight="1" x14ac:dyDescent="0.25">
      <c r="A517" s="235"/>
      <c r="F517" s="271"/>
      <c r="I517" s="271"/>
      <c r="J517" s="271"/>
      <c r="K517" s="235"/>
      <c r="M517" s="271"/>
      <c r="N517" s="235"/>
    </row>
    <row r="518" spans="1:14" ht="14.25" customHeight="1" x14ac:dyDescent="0.25">
      <c r="A518" s="235"/>
      <c r="F518" s="271"/>
      <c r="I518" s="271"/>
      <c r="J518" s="271"/>
      <c r="K518" s="235"/>
      <c r="M518" s="271"/>
      <c r="N518" s="235"/>
    </row>
    <row r="519" spans="1:14" ht="14.25" customHeight="1" x14ac:dyDescent="0.25">
      <c r="A519" s="235"/>
      <c r="F519" s="271"/>
      <c r="I519" s="271"/>
      <c r="J519" s="271"/>
      <c r="K519" s="235"/>
      <c r="M519" s="271"/>
      <c r="N519" s="235"/>
    </row>
    <row r="520" spans="1:14" ht="14.25" customHeight="1" x14ac:dyDescent="0.25">
      <c r="A520" s="235"/>
      <c r="F520" s="271"/>
      <c r="I520" s="271"/>
      <c r="J520" s="271"/>
      <c r="K520" s="235"/>
      <c r="M520" s="271"/>
      <c r="N520" s="235"/>
    </row>
    <row r="521" spans="1:14" ht="14.25" customHeight="1" x14ac:dyDescent="0.25">
      <c r="A521" s="235"/>
      <c r="F521" s="271"/>
      <c r="I521" s="271"/>
      <c r="J521" s="271"/>
      <c r="K521" s="235"/>
      <c r="M521" s="271"/>
      <c r="N521" s="235"/>
    </row>
    <row r="522" spans="1:14" ht="14.25" customHeight="1" x14ac:dyDescent="0.25">
      <c r="A522" s="235"/>
      <c r="F522" s="271"/>
      <c r="I522" s="271"/>
      <c r="J522" s="271"/>
      <c r="K522" s="235"/>
      <c r="M522" s="271"/>
      <c r="N522" s="235"/>
    </row>
    <row r="523" spans="1:14" ht="14.25" customHeight="1" x14ac:dyDescent="0.25">
      <c r="A523" s="235"/>
      <c r="F523" s="271"/>
      <c r="I523" s="271"/>
      <c r="J523" s="271"/>
      <c r="K523" s="235"/>
      <c r="M523" s="271"/>
      <c r="N523" s="235"/>
    </row>
    <row r="524" spans="1:14" ht="14.25" customHeight="1" x14ac:dyDescent="0.25">
      <c r="A524" s="235"/>
      <c r="F524" s="271"/>
      <c r="I524" s="271"/>
      <c r="J524" s="271"/>
      <c r="K524" s="235"/>
      <c r="M524" s="271"/>
      <c r="N524" s="235"/>
    </row>
    <row r="525" spans="1:14" ht="14.25" customHeight="1" x14ac:dyDescent="0.25">
      <c r="A525" s="235"/>
      <c r="F525" s="271"/>
      <c r="I525" s="271"/>
      <c r="J525" s="271"/>
      <c r="K525" s="235"/>
      <c r="M525" s="271"/>
      <c r="N525" s="235"/>
    </row>
    <row r="526" spans="1:14" ht="14.25" customHeight="1" x14ac:dyDescent="0.25">
      <c r="A526" s="235"/>
      <c r="F526" s="271"/>
      <c r="I526" s="271"/>
      <c r="J526" s="271"/>
      <c r="K526" s="235"/>
      <c r="M526" s="271"/>
      <c r="N526" s="235"/>
    </row>
    <row r="527" spans="1:14" ht="14.25" customHeight="1" x14ac:dyDescent="0.25">
      <c r="A527" s="235"/>
      <c r="F527" s="271"/>
      <c r="I527" s="271"/>
      <c r="J527" s="271"/>
      <c r="K527" s="235"/>
      <c r="M527" s="271"/>
      <c r="N527" s="235"/>
    </row>
    <row r="528" spans="1:14" ht="14.25" customHeight="1" x14ac:dyDescent="0.25">
      <c r="A528" s="235"/>
      <c r="F528" s="271"/>
      <c r="I528" s="271"/>
      <c r="J528" s="271"/>
      <c r="K528" s="235"/>
      <c r="M528" s="271"/>
      <c r="N528" s="235"/>
    </row>
    <row r="529" spans="1:14" ht="14.25" customHeight="1" x14ac:dyDescent="0.25">
      <c r="A529" s="235"/>
      <c r="F529" s="271"/>
      <c r="I529" s="271"/>
      <c r="J529" s="271"/>
      <c r="K529" s="235"/>
      <c r="M529" s="271"/>
      <c r="N529" s="235"/>
    </row>
    <row r="530" spans="1:14" ht="14.25" customHeight="1" x14ac:dyDescent="0.25">
      <c r="A530" s="235"/>
      <c r="F530" s="271"/>
      <c r="I530" s="271"/>
      <c r="J530" s="271"/>
      <c r="K530" s="235"/>
      <c r="M530" s="271"/>
      <c r="N530" s="235"/>
    </row>
    <row r="531" spans="1:14" ht="14.25" customHeight="1" x14ac:dyDescent="0.25">
      <c r="A531" s="235"/>
      <c r="F531" s="271"/>
      <c r="I531" s="271"/>
      <c r="J531" s="271"/>
      <c r="K531" s="235"/>
      <c r="M531" s="271"/>
      <c r="N531" s="235"/>
    </row>
    <row r="532" spans="1:14" ht="14.25" customHeight="1" x14ac:dyDescent="0.25">
      <c r="A532" s="235"/>
      <c r="F532" s="271"/>
      <c r="I532" s="271"/>
      <c r="J532" s="271"/>
      <c r="K532" s="235"/>
      <c r="M532" s="271"/>
      <c r="N532" s="235"/>
    </row>
    <row r="533" spans="1:14" ht="14.25" customHeight="1" x14ac:dyDescent="0.25">
      <c r="A533" s="235"/>
      <c r="F533" s="271"/>
      <c r="I533" s="271"/>
      <c r="J533" s="271"/>
      <c r="K533" s="235"/>
      <c r="M533" s="271"/>
      <c r="N533" s="235"/>
    </row>
    <row r="534" spans="1:14" ht="14.25" customHeight="1" x14ac:dyDescent="0.25">
      <c r="A534" s="235"/>
      <c r="F534" s="271"/>
      <c r="I534" s="271"/>
      <c r="J534" s="271"/>
      <c r="K534" s="235"/>
      <c r="M534" s="271"/>
      <c r="N534" s="235"/>
    </row>
    <row r="535" spans="1:14" ht="14.25" customHeight="1" x14ac:dyDescent="0.25">
      <c r="A535" s="235"/>
      <c r="F535" s="271"/>
      <c r="I535" s="271"/>
      <c r="J535" s="271"/>
      <c r="K535" s="235"/>
      <c r="M535" s="271"/>
      <c r="N535" s="235"/>
    </row>
    <row r="536" spans="1:14" ht="14.25" customHeight="1" x14ac:dyDescent="0.25">
      <c r="A536" s="235"/>
      <c r="F536" s="271"/>
      <c r="I536" s="271"/>
      <c r="J536" s="271"/>
      <c r="K536" s="235"/>
      <c r="M536" s="271"/>
      <c r="N536" s="235"/>
    </row>
    <row r="537" spans="1:14" ht="14.25" customHeight="1" x14ac:dyDescent="0.25">
      <c r="A537" s="235"/>
      <c r="F537" s="271"/>
      <c r="I537" s="271"/>
      <c r="J537" s="271"/>
      <c r="K537" s="235"/>
      <c r="M537" s="271"/>
      <c r="N537" s="235"/>
    </row>
    <row r="538" spans="1:14" ht="14.25" customHeight="1" x14ac:dyDescent="0.25">
      <c r="A538" s="235"/>
      <c r="F538" s="271"/>
      <c r="I538" s="271"/>
      <c r="J538" s="271"/>
      <c r="K538" s="235"/>
      <c r="M538" s="271"/>
      <c r="N538" s="235"/>
    </row>
    <row r="539" spans="1:14" ht="14.25" customHeight="1" x14ac:dyDescent="0.25">
      <c r="A539" s="235"/>
      <c r="F539" s="271"/>
      <c r="I539" s="271"/>
      <c r="J539" s="271"/>
      <c r="K539" s="235"/>
      <c r="M539" s="271"/>
      <c r="N539" s="235"/>
    </row>
    <row r="540" spans="1:14" ht="14.25" customHeight="1" x14ac:dyDescent="0.25">
      <c r="A540" s="235"/>
      <c r="F540" s="271"/>
      <c r="I540" s="271"/>
      <c r="J540" s="271"/>
      <c r="K540" s="235"/>
      <c r="M540" s="271"/>
      <c r="N540" s="235"/>
    </row>
    <row r="541" spans="1:14" ht="14.25" customHeight="1" x14ac:dyDescent="0.25">
      <c r="A541" s="235"/>
      <c r="F541" s="271"/>
      <c r="I541" s="271"/>
      <c r="J541" s="271"/>
      <c r="K541" s="235"/>
      <c r="M541" s="271"/>
      <c r="N541" s="235"/>
    </row>
    <row r="542" spans="1:14" ht="14.25" customHeight="1" x14ac:dyDescent="0.25">
      <c r="A542" s="235"/>
      <c r="F542" s="271"/>
      <c r="I542" s="271"/>
      <c r="J542" s="271"/>
      <c r="K542" s="235"/>
      <c r="M542" s="271"/>
      <c r="N542" s="235"/>
    </row>
    <row r="543" spans="1:14" ht="14.25" customHeight="1" x14ac:dyDescent="0.25">
      <c r="A543" s="235"/>
      <c r="F543" s="271"/>
      <c r="I543" s="271"/>
      <c r="J543" s="271"/>
      <c r="K543" s="235"/>
      <c r="M543" s="271"/>
      <c r="N543" s="235"/>
    </row>
    <row r="544" spans="1:14" ht="14.25" customHeight="1" x14ac:dyDescent="0.25">
      <c r="A544" s="235"/>
      <c r="F544" s="271"/>
      <c r="I544" s="271"/>
      <c r="J544" s="271"/>
      <c r="K544" s="235"/>
      <c r="M544" s="271"/>
      <c r="N544" s="235"/>
    </row>
    <row r="545" spans="1:14" ht="14.25" customHeight="1" x14ac:dyDescent="0.25">
      <c r="A545" s="235"/>
      <c r="F545" s="271"/>
      <c r="I545" s="271"/>
      <c r="J545" s="271"/>
      <c r="K545" s="235"/>
      <c r="M545" s="271"/>
      <c r="N545" s="235"/>
    </row>
    <row r="546" spans="1:14" ht="14.25" customHeight="1" x14ac:dyDescent="0.25">
      <c r="A546" s="235"/>
      <c r="F546" s="271"/>
      <c r="I546" s="271"/>
      <c r="J546" s="271"/>
      <c r="K546" s="235"/>
      <c r="M546" s="271"/>
      <c r="N546" s="235"/>
    </row>
    <row r="547" spans="1:14" ht="14.25" customHeight="1" x14ac:dyDescent="0.25">
      <c r="A547" s="235"/>
      <c r="F547" s="271"/>
      <c r="I547" s="271"/>
      <c r="J547" s="271"/>
      <c r="K547" s="235"/>
      <c r="M547" s="271"/>
      <c r="N547" s="235"/>
    </row>
    <row r="548" spans="1:14" ht="14.25" customHeight="1" x14ac:dyDescent="0.25">
      <c r="A548" s="235"/>
      <c r="F548" s="271"/>
      <c r="I548" s="271"/>
      <c r="J548" s="271"/>
      <c r="K548" s="235"/>
      <c r="M548" s="271"/>
      <c r="N548" s="235"/>
    </row>
    <row r="549" spans="1:14" ht="14.25" customHeight="1" x14ac:dyDescent="0.25">
      <c r="A549" s="235"/>
      <c r="F549" s="271"/>
      <c r="I549" s="271"/>
      <c r="J549" s="271"/>
      <c r="K549" s="235"/>
      <c r="M549" s="271"/>
      <c r="N549" s="235"/>
    </row>
    <row r="550" spans="1:14" ht="14.25" customHeight="1" x14ac:dyDescent="0.25">
      <c r="A550" s="235"/>
      <c r="F550" s="271"/>
      <c r="I550" s="271"/>
      <c r="J550" s="271"/>
      <c r="K550" s="235"/>
      <c r="M550" s="271"/>
      <c r="N550" s="235"/>
    </row>
    <row r="551" spans="1:14" ht="14.25" customHeight="1" x14ac:dyDescent="0.25">
      <c r="A551" s="235"/>
      <c r="F551" s="271"/>
      <c r="I551" s="271"/>
      <c r="J551" s="271"/>
      <c r="K551" s="235"/>
      <c r="M551" s="271"/>
      <c r="N551" s="235"/>
    </row>
    <row r="552" spans="1:14" ht="14.25" customHeight="1" x14ac:dyDescent="0.25">
      <c r="A552" s="235"/>
      <c r="F552" s="271"/>
      <c r="I552" s="271"/>
      <c r="J552" s="271"/>
      <c r="K552" s="235"/>
      <c r="M552" s="271"/>
      <c r="N552" s="235"/>
    </row>
    <row r="553" spans="1:14" ht="14.25" customHeight="1" x14ac:dyDescent="0.25">
      <c r="A553" s="235"/>
      <c r="F553" s="271"/>
      <c r="I553" s="271"/>
      <c r="J553" s="271"/>
      <c r="K553" s="235"/>
      <c r="M553" s="271"/>
      <c r="N553" s="235"/>
    </row>
    <row r="554" spans="1:14" ht="14.25" customHeight="1" x14ac:dyDescent="0.25">
      <c r="A554" s="235"/>
      <c r="F554" s="271"/>
      <c r="I554" s="271"/>
      <c r="J554" s="271"/>
      <c r="K554" s="235"/>
      <c r="M554" s="271"/>
      <c r="N554" s="235"/>
    </row>
    <row r="555" spans="1:14" ht="14.25" customHeight="1" x14ac:dyDescent="0.25">
      <c r="A555" s="235"/>
      <c r="F555" s="271"/>
      <c r="I555" s="271"/>
      <c r="J555" s="271"/>
      <c r="K555" s="235"/>
      <c r="M555" s="271"/>
      <c r="N555" s="235"/>
    </row>
    <row r="556" spans="1:14" ht="14.25" customHeight="1" x14ac:dyDescent="0.25">
      <c r="A556" s="235"/>
      <c r="F556" s="271"/>
      <c r="I556" s="271"/>
      <c r="J556" s="271"/>
      <c r="K556" s="235"/>
      <c r="M556" s="271"/>
      <c r="N556" s="235"/>
    </row>
    <row r="557" spans="1:14" ht="14.25" customHeight="1" x14ac:dyDescent="0.25">
      <c r="A557" s="235"/>
      <c r="F557" s="271"/>
      <c r="I557" s="271"/>
      <c r="J557" s="271"/>
      <c r="K557" s="235"/>
      <c r="M557" s="271"/>
      <c r="N557" s="235"/>
    </row>
    <row r="558" spans="1:14" ht="14.25" customHeight="1" x14ac:dyDescent="0.25">
      <c r="A558" s="235"/>
      <c r="F558" s="271"/>
      <c r="I558" s="271"/>
      <c r="J558" s="271"/>
      <c r="K558" s="235"/>
      <c r="M558" s="271"/>
      <c r="N558" s="235"/>
    </row>
    <row r="559" spans="1:14" ht="14.25" customHeight="1" x14ac:dyDescent="0.25">
      <c r="A559" s="235"/>
      <c r="F559" s="271"/>
      <c r="I559" s="271"/>
      <c r="J559" s="271"/>
      <c r="K559" s="235"/>
      <c r="M559" s="271"/>
      <c r="N559" s="235"/>
    </row>
    <row r="560" spans="1:14" ht="14.25" customHeight="1" x14ac:dyDescent="0.25">
      <c r="A560" s="235"/>
      <c r="F560" s="271"/>
      <c r="I560" s="271"/>
      <c r="J560" s="271"/>
      <c r="K560" s="235"/>
      <c r="M560" s="271"/>
      <c r="N560" s="235"/>
    </row>
    <row r="561" spans="1:14" ht="14.25" customHeight="1" x14ac:dyDescent="0.25">
      <c r="A561" s="235"/>
      <c r="F561" s="271"/>
      <c r="I561" s="271"/>
      <c r="J561" s="271"/>
      <c r="K561" s="235"/>
      <c r="M561" s="271"/>
      <c r="N561" s="235"/>
    </row>
    <row r="562" spans="1:14" ht="14.25" customHeight="1" x14ac:dyDescent="0.25">
      <c r="A562" s="235"/>
      <c r="F562" s="271"/>
      <c r="I562" s="271"/>
      <c r="J562" s="271"/>
      <c r="K562" s="235"/>
      <c r="M562" s="271"/>
      <c r="N562" s="235"/>
    </row>
    <row r="563" spans="1:14" ht="14.25" customHeight="1" x14ac:dyDescent="0.25">
      <c r="A563" s="235"/>
      <c r="F563" s="271"/>
      <c r="I563" s="271"/>
      <c r="J563" s="271"/>
      <c r="K563" s="235"/>
      <c r="M563" s="271"/>
      <c r="N563" s="235"/>
    </row>
    <row r="564" spans="1:14" ht="14.25" customHeight="1" x14ac:dyDescent="0.25">
      <c r="A564" s="235"/>
      <c r="F564" s="271"/>
      <c r="I564" s="271"/>
      <c r="J564" s="271"/>
      <c r="K564" s="235"/>
      <c r="M564" s="271"/>
      <c r="N564" s="235"/>
    </row>
    <row r="565" spans="1:14" ht="14.25" customHeight="1" x14ac:dyDescent="0.25">
      <c r="A565" s="235"/>
      <c r="F565" s="271"/>
      <c r="I565" s="271"/>
      <c r="J565" s="271"/>
      <c r="K565" s="235"/>
      <c r="M565" s="271"/>
      <c r="N565" s="235"/>
    </row>
    <row r="566" spans="1:14" ht="14.25" customHeight="1" x14ac:dyDescent="0.25">
      <c r="A566" s="235"/>
      <c r="F566" s="271"/>
      <c r="I566" s="271"/>
      <c r="J566" s="271"/>
      <c r="K566" s="235"/>
      <c r="M566" s="271"/>
      <c r="N566" s="235"/>
    </row>
    <row r="567" spans="1:14" ht="14.25" customHeight="1" x14ac:dyDescent="0.25">
      <c r="A567" s="235"/>
      <c r="F567" s="271"/>
      <c r="I567" s="271"/>
      <c r="J567" s="271"/>
      <c r="K567" s="235"/>
      <c r="M567" s="271"/>
      <c r="N567" s="235"/>
    </row>
    <row r="568" spans="1:14" ht="14.25" customHeight="1" x14ac:dyDescent="0.25">
      <c r="A568" s="235"/>
      <c r="F568" s="271"/>
      <c r="I568" s="271"/>
      <c r="J568" s="271"/>
      <c r="K568" s="235"/>
      <c r="M568" s="271"/>
      <c r="N568" s="235"/>
    </row>
    <row r="569" spans="1:14" ht="14.25" customHeight="1" x14ac:dyDescent="0.25">
      <c r="A569" s="235"/>
      <c r="F569" s="271"/>
      <c r="I569" s="271"/>
      <c r="J569" s="271"/>
      <c r="K569" s="235"/>
      <c r="M569" s="271"/>
      <c r="N569" s="235"/>
    </row>
    <row r="570" spans="1:14" ht="14.25" customHeight="1" x14ac:dyDescent="0.25">
      <c r="A570" s="235"/>
      <c r="F570" s="271"/>
      <c r="I570" s="271"/>
      <c r="J570" s="271"/>
      <c r="K570" s="235"/>
      <c r="M570" s="271"/>
      <c r="N570" s="235"/>
    </row>
    <row r="571" spans="1:14" ht="14.25" customHeight="1" x14ac:dyDescent="0.25">
      <c r="A571" s="235"/>
      <c r="F571" s="271"/>
      <c r="I571" s="271"/>
      <c r="J571" s="271"/>
      <c r="K571" s="235"/>
      <c r="M571" s="271"/>
      <c r="N571" s="235"/>
    </row>
    <row r="572" spans="1:14" ht="14.25" customHeight="1" x14ac:dyDescent="0.25">
      <c r="A572" s="235"/>
      <c r="F572" s="271"/>
      <c r="I572" s="271"/>
      <c r="J572" s="271"/>
      <c r="K572" s="235"/>
      <c r="M572" s="271"/>
      <c r="N572" s="235"/>
    </row>
    <row r="573" spans="1:14" ht="14.25" customHeight="1" x14ac:dyDescent="0.25">
      <c r="A573" s="235"/>
      <c r="F573" s="271"/>
      <c r="I573" s="271"/>
      <c r="J573" s="271"/>
      <c r="K573" s="235"/>
      <c r="M573" s="271"/>
      <c r="N573" s="235"/>
    </row>
    <row r="574" spans="1:14" ht="14.25" customHeight="1" x14ac:dyDescent="0.25">
      <c r="A574" s="235"/>
      <c r="F574" s="271"/>
      <c r="I574" s="271"/>
      <c r="J574" s="271"/>
      <c r="K574" s="235"/>
      <c r="M574" s="271"/>
      <c r="N574" s="235"/>
    </row>
    <row r="575" spans="1:14" ht="14.25" customHeight="1" x14ac:dyDescent="0.25">
      <c r="A575" s="235"/>
      <c r="F575" s="271"/>
      <c r="I575" s="271"/>
      <c r="J575" s="271"/>
      <c r="K575" s="235"/>
      <c r="M575" s="271"/>
      <c r="N575" s="235"/>
    </row>
    <row r="576" spans="1:14" ht="14.25" customHeight="1" x14ac:dyDescent="0.25">
      <c r="A576" s="235"/>
      <c r="F576" s="271"/>
      <c r="I576" s="271"/>
      <c r="J576" s="271"/>
      <c r="K576" s="235"/>
      <c r="M576" s="271"/>
      <c r="N576" s="235"/>
    </row>
    <row r="577" spans="1:14" ht="14.25" customHeight="1" x14ac:dyDescent="0.25">
      <c r="A577" s="235"/>
      <c r="F577" s="271"/>
      <c r="I577" s="271"/>
      <c r="J577" s="271"/>
      <c r="K577" s="235"/>
      <c r="M577" s="271"/>
      <c r="N577" s="235"/>
    </row>
    <row r="578" spans="1:14" ht="14.25" customHeight="1" x14ac:dyDescent="0.25">
      <c r="A578" s="235"/>
      <c r="F578" s="271"/>
      <c r="I578" s="271"/>
      <c r="J578" s="271"/>
      <c r="K578" s="235"/>
      <c r="M578" s="271"/>
      <c r="N578" s="235"/>
    </row>
    <row r="579" spans="1:14" ht="14.25" customHeight="1" x14ac:dyDescent="0.25">
      <c r="A579" s="235"/>
      <c r="F579" s="271"/>
      <c r="I579" s="271"/>
      <c r="J579" s="271"/>
      <c r="K579" s="235"/>
      <c r="M579" s="271"/>
      <c r="N579" s="235"/>
    </row>
    <row r="580" spans="1:14" ht="14.25" customHeight="1" x14ac:dyDescent="0.25">
      <c r="A580" s="235"/>
      <c r="F580" s="271"/>
      <c r="I580" s="271"/>
      <c r="J580" s="271"/>
      <c r="K580" s="235"/>
      <c r="M580" s="271"/>
      <c r="N580" s="235"/>
    </row>
    <row r="581" spans="1:14" ht="14.25" customHeight="1" x14ac:dyDescent="0.25">
      <c r="A581" s="235"/>
      <c r="F581" s="271"/>
      <c r="I581" s="271"/>
      <c r="J581" s="271"/>
      <c r="K581" s="235"/>
      <c r="M581" s="271"/>
      <c r="N581" s="235"/>
    </row>
    <row r="582" spans="1:14" ht="14.25" customHeight="1" x14ac:dyDescent="0.25">
      <c r="A582" s="235"/>
      <c r="F582" s="271"/>
      <c r="I582" s="271"/>
      <c r="J582" s="271"/>
      <c r="K582" s="235"/>
      <c r="M582" s="271"/>
      <c r="N582" s="235"/>
    </row>
    <row r="583" spans="1:14" ht="14.25" customHeight="1" x14ac:dyDescent="0.25">
      <c r="A583" s="235"/>
      <c r="F583" s="271"/>
      <c r="I583" s="271"/>
      <c r="J583" s="271"/>
      <c r="K583" s="235"/>
      <c r="M583" s="271"/>
      <c r="N583" s="235"/>
    </row>
    <row r="584" spans="1:14" ht="14.25" customHeight="1" x14ac:dyDescent="0.25">
      <c r="A584" s="235"/>
      <c r="F584" s="271"/>
      <c r="I584" s="271"/>
      <c r="J584" s="271"/>
      <c r="K584" s="235"/>
      <c r="M584" s="271"/>
      <c r="N584" s="235"/>
    </row>
    <row r="585" spans="1:14" ht="14.25" customHeight="1" x14ac:dyDescent="0.25">
      <c r="A585" s="235"/>
      <c r="F585" s="271"/>
      <c r="I585" s="271"/>
      <c r="J585" s="271"/>
      <c r="K585" s="235"/>
      <c r="M585" s="271"/>
      <c r="N585" s="235"/>
    </row>
    <row r="586" spans="1:14" ht="14.25" customHeight="1" x14ac:dyDescent="0.25">
      <c r="A586" s="235"/>
      <c r="F586" s="271"/>
      <c r="I586" s="271"/>
      <c r="J586" s="271"/>
      <c r="K586" s="235"/>
      <c r="M586" s="271"/>
      <c r="N586" s="235"/>
    </row>
    <row r="587" spans="1:14" ht="14.25" customHeight="1" x14ac:dyDescent="0.25">
      <c r="A587" s="235"/>
      <c r="F587" s="271"/>
      <c r="I587" s="271"/>
      <c r="J587" s="271"/>
      <c r="K587" s="235"/>
      <c r="M587" s="271"/>
      <c r="N587" s="235"/>
    </row>
    <row r="588" spans="1:14" ht="14.25" customHeight="1" x14ac:dyDescent="0.25">
      <c r="A588" s="235"/>
      <c r="F588" s="271"/>
      <c r="I588" s="271"/>
      <c r="J588" s="271"/>
      <c r="K588" s="235"/>
      <c r="M588" s="271"/>
      <c r="N588" s="235"/>
    </row>
    <row r="589" spans="1:14" ht="14.25" customHeight="1" x14ac:dyDescent="0.25">
      <c r="A589" s="235"/>
      <c r="F589" s="271"/>
      <c r="I589" s="271"/>
      <c r="J589" s="271"/>
      <c r="K589" s="235"/>
      <c r="M589" s="271"/>
      <c r="N589" s="235"/>
    </row>
    <row r="590" spans="1:14" ht="14.25" customHeight="1" x14ac:dyDescent="0.25">
      <c r="A590" s="235"/>
      <c r="F590" s="271"/>
      <c r="I590" s="271"/>
      <c r="J590" s="271"/>
      <c r="K590" s="235"/>
      <c r="M590" s="271"/>
      <c r="N590" s="235"/>
    </row>
    <row r="591" spans="1:14" ht="14.25" customHeight="1" x14ac:dyDescent="0.25">
      <c r="A591" s="235"/>
      <c r="F591" s="271"/>
      <c r="I591" s="271"/>
      <c r="J591" s="271"/>
      <c r="K591" s="235"/>
      <c r="M591" s="271"/>
      <c r="N591" s="235"/>
    </row>
    <row r="592" spans="1:14" ht="14.25" customHeight="1" x14ac:dyDescent="0.25">
      <c r="A592" s="235"/>
      <c r="F592" s="271"/>
      <c r="I592" s="271"/>
      <c r="J592" s="271"/>
      <c r="K592" s="235"/>
      <c r="M592" s="271"/>
      <c r="N592" s="235"/>
    </row>
    <row r="593" spans="1:14" ht="14.25" customHeight="1" x14ac:dyDescent="0.25">
      <c r="A593" s="235"/>
      <c r="F593" s="271"/>
      <c r="I593" s="271"/>
      <c r="J593" s="271"/>
      <c r="K593" s="235"/>
      <c r="M593" s="271"/>
      <c r="N593" s="235"/>
    </row>
    <row r="594" spans="1:14" ht="14.25" customHeight="1" x14ac:dyDescent="0.25">
      <c r="A594" s="235"/>
      <c r="F594" s="271"/>
      <c r="I594" s="271"/>
      <c r="J594" s="271"/>
      <c r="K594" s="235"/>
      <c r="M594" s="271"/>
      <c r="N594" s="235"/>
    </row>
    <row r="595" spans="1:14" ht="14.25" customHeight="1" x14ac:dyDescent="0.25">
      <c r="A595" s="235"/>
      <c r="F595" s="271"/>
      <c r="I595" s="271"/>
      <c r="J595" s="271"/>
      <c r="K595" s="235"/>
      <c r="M595" s="271"/>
      <c r="N595" s="235"/>
    </row>
    <row r="596" spans="1:14" ht="14.25" customHeight="1" x14ac:dyDescent="0.25">
      <c r="A596" s="235"/>
      <c r="F596" s="271"/>
      <c r="I596" s="271"/>
      <c r="J596" s="271"/>
      <c r="K596" s="235"/>
      <c r="M596" s="271"/>
      <c r="N596" s="235"/>
    </row>
    <row r="597" spans="1:14" ht="14.25" customHeight="1" x14ac:dyDescent="0.25">
      <c r="A597" s="235"/>
      <c r="F597" s="271"/>
      <c r="I597" s="271"/>
      <c r="J597" s="271"/>
      <c r="K597" s="235"/>
      <c r="M597" s="271"/>
      <c r="N597" s="235"/>
    </row>
    <row r="598" spans="1:14" ht="14.25" customHeight="1" x14ac:dyDescent="0.25">
      <c r="A598" s="235"/>
      <c r="F598" s="271"/>
      <c r="I598" s="271"/>
      <c r="J598" s="271"/>
      <c r="K598" s="235"/>
      <c r="M598" s="271"/>
      <c r="N598" s="235"/>
    </row>
    <row r="599" spans="1:14" ht="14.25" customHeight="1" x14ac:dyDescent="0.25">
      <c r="A599" s="235"/>
      <c r="F599" s="271"/>
      <c r="I599" s="271"/>
      <c r="J599" s="271"/>
      <c r="K599" s="235"/>
      <c r="M599" s="271"/>
      <c r="N599" s="235"/>
    </row>
    <row r="600" spans="1:14" ht="14.25" customHeight="1" x14ac:dyDescent="0.25">
      <c r="A600" s="235"/>
      <c r="F600" s="271"/>
      <c r="I600" s="271"/>
      <c r="J600" s="271"/>
      <c r="K600" s="235"/>
      <c r="M600" s="271"/>
      <c r="N600" s="235"/>
    </row>
    <row r="601" spans="1:14" ht="14.25" customHeight="1" x14ac:dyDescent="0.25">
      <c r="A601" s="235"/>
      <c r="F601" s="271"/>
      <c r="I601" s="271"/>
      <c r="J601" s="271"/>
      <c r="K601" s="235"/>
      <c r="M601" s="271"/>
      <c r="N601" s="235"/>
    </row>
    <row r="602" spans="1:14" ht="14.25" customHeight="1" x14ac:dyDescent="0.25">
      <c r="A602" s="235"/>
      <c r="F602" s="271"/>
      <c r="I602" s="271"/>
      <c r="J602" s="271"/>
      <c r="K602" s="235"/>
      <c r="M602" s="271"/>
      <c r="N602" s="235"/>
    </row>
    <row r="603" spans="1:14" ht="14.25" customHeight="1" x14ac:dyDescent="0.25">
      <c r="A603" s="235"/>
      <c r="F603" s="271"/>
      <c r="I603" s="271"/>
      <c r="J603" s="271"/>
      <c r="K603" s="235"/>
      <c r="M603" s="271"/>
      <c r="N603" s="235"/>
    </row>
    <row r="604" spans="1:14" ht="14.25" customHeight="1" x14ac:dyDescent="0.25">
      <c r="A604" s="235"/>
      <c r="F604" s="271"/>
      <c r="I604" s="271"/>
      <c r="J604" s="271"/>
      <c r="K604" s="235"/>
      <c r="M604" s="271"/>
      <c r="N604" s="235"/>
    </row>
    <row r="605" spans="1:14" ht="14.25" customHeight="1" x14ac:dyDescent="0.25">
      <c r="A605" s="235"/>
      <c r="F605" s="271"/>
      <c r="I605" s="271"/>
      <c r="J605" s="271"/>
      <c r="K605" s="235"/>
      <c r="M605" s="271"/>
      <c r="N605" s="235"/>
    </row>
    <row r="606" spans="1:14" ht="14.25" customHeight="1" x14ac:dyDescent="0.25">
      <c r="A606" s="235"/>
      <c r="F606" s="271"/>
      <c r="I606" s="271"/>
      <c r="J606" s="271"/>
      <c r="K606" s="235"/>
      <c r="M606" s="271"/>
      <c r="N606" s="235"/>
    </row>
    <row r="607" spans="1:14" ht="14.25" customHeight="1" x14ac:dyDescent="0.25">
      <c r="A607" s="235"/>
      <c r="F607" s="271"/>
      <c r="I607" s="271"/>
      <c r="J607" s="271"/>
      <c r="K607" s="235"/>
      <c r="M607" s="271"/>
      <c r="N607" s="235"/>
    </row>
    <row r="608" spans="1:14" ht="14.25" customHeight="1" x14ac:dyDescent="0.25">
      <c r="A608" s="235"/>
      <c r="F608" s="271"/>
      <c r="I608" s="271"/>
      <c r="J608" s="271"/>
      <c r="K608" s="235"/>
      <c r="M608" s="271"/>
      <c r="N608" s="235"/>
    </row>
    <row r="609" spans="1:14" ht="14.25" customHeight="1" x14ac:dyDescent="0.25">
      <c r="A609" s="235"/>
      <c r="F609" s="271"/>
      <c r="I609" s="271"/>
      <c r="J609" s="271"/>
      <c r="K609" s="235"/>
      <c r="M609" s="271"/>
      <c r="N609" s="235"/>
    </row>
    <row r="610" spans="1:14" ht="14.25" customHeight="1" x14ac:dyDescent="0.25">
      <c r="A610" s="235"/>
      <c r="F610" s="271"/>
      <c r="I610" s="271"/>
      <c r="J610" s="271"/>
      <c r="K610" s="235"/>
      <c r="M610" s="271"/>
      <c r="N610" s="235"/>
    </row>
    <row r="611" spans="1:14" ht="14.25" customHeight="1" x14ac:dyDescent="0.25">
      <c r="A611" s="235"/>
      <c r="F611" s="271"/>
      <c r="I611" s="271"/>
      <c r="J611" s="271"/>
      <c r="K611" s="235"/>
      <c r="M611" s="271"/>
      <c r="N611" s="235"/>
    </row>
    <row r="612" spans="1:14" ht="14.25" customHeight="1" x14ac:dyDescent="0.25">
      <c r="A612" s="235"/>
      <c r="F612" s="271"/>
      <c r="I612" s="271"/>
      <c r="J612" s="271"/>
      <c r="K612" s="235"/>
      <c r="M612" s="271"/>
      <c r="N612" s="235"/>
    </row>
    <row r="613" spans="1:14" ht="14.25" customHeight="1" x14ac:dyDescent="0.25">
      <c r="A613" s="235"/>
      <c r="F613" s="271"/>
      <c r="I613" s="271"/>
      <c r="J613" s="271"/>
      <c r="K613" s="235"/>
      <c r="M613" s="271"/>
      <c r="N613" s="235"/>
    </row>
    <row r="614" spans="1:14" ht="14.25" customHeight="1" x14ac:dyDescent="0.25">
      <c r="A614" s="235"/>
      <c r="F614" s="271"/>
      <c r="I614" s="271"/>
      <c r="J614" s="271"/>
      <c r="K614" s="235"/>
      <c r="M614" s="271"/>
      <c r="N614" s="235"/>
    </row>
    <row r="615" spans="1:14" ht="14.25" customHeight="1" x14ac:dyDescent="0.25">
      <c r="A615" s="235"/>
      <c r="F615" s="271"/>
      <c r="I615" s="271"/>
      <c r="J615" s="271"/>
      <c r="K615" s="235"/>
      <c r="M615" s="271"/>
      <c r="N615" s="235"/>
    </row>
    <row r="616" spans="1:14" ht="14.25" customHeight="1" x14ac:dyDescent="0.25">
      <c r="A616" s="235"/>
      <c r="F616" s="271"/>
      <c r="I616" s="271"/>
      <c r="J616" s="271"/>
      <c r="K616" s="235"/>
      <c r="M616" s="271"/>
      <c r="N616" s="235"/>
    </row>
    <row r="617" spans="1:14" ht="14.25" customHeight="1" x14ac:dyDescent="0.25">
      <c r="A617" s="235"/>
      <c r="F617" s="271"/>
      <c r="I617" s="271"/>
      <c r="J617" s="271"/>
      <c r="K617" s="235"/>
      <c r="M617" s="271"/>
      <c r="N617" s="235"/>
    </row>
    <row r="618" spans="1:14" ht="14.25" customHeight="1" x14ac:dyDescent="0.25">
      <c r="A618" s="235"/>
      <c r="F618" s="271"/>
      <c r="I618" s="271"/>
      <c r="J618" s="271"/>
      <c r="K618" s="235"/>
      <c r="M618" s="271"/>
      <c r="N618" s="235"/>
    </row>
    <row r="619" spans="1:14" ht="14.25" customHeight="1" x14ac:dyDescent="0.25">
      <c r="A619" s="235"/>
      <c r="F619" s="271"/>
      <c r="I619" s="271"/>
      <c r="J619" s="271"/>
      <c r="K619" s="235"/>
      <c r="M619" s="271"/>
      <c r="N619" s="235"/>
    </row>
    <row r="620" spans="1:14" ht="14.25" customHeight="1" x14ac:dyDescent="0.25">
      <c r="A620" s="235"/>
      <c r="F620" s="271"/>
      <c r="I620" s="271"/>
      <c r="J620" s="271"/>
      <c r="K620" s="235"/>
      <c r="M620" s="271"/>
      <c r="N620" s="235"/>
    </row>
    <row r="621" spans="1:14" ht="14.25" customHeight="1" x14ac:dyDescent="0.25">
      <c r="A621" s="235"/>
      <c r="F621" s="271"/>
      <c r="I621" s="271"/>
      <c r="J621" s="271"/>
      <c r="K621" s="235"/>
      <c r="M621" s="271"/>
      <c r="N621" s="235"/>
    </row>
    <row r="622" spans="1:14" ht="14.25" customHeight="1" x14ac:dyDescent="0.25">
      <c r="A622" s="235"/>
      <c r="F622" s="271"/>
      <c r="I622" s="271"/>
      <c r="J622" s="271"/>
      <c r="K622" s="235"/>
      <c r="M622" s="271"/>
      <c r="N622" s="235"/>
    </row>
    <row r="623" spans="1:14" ht="14.25" customHeight="1" x14ac:dyDescent="0.25">
      <c r="A623" s="235"/>
      <c r="F623" s="271"/>
      <c r="I623" s="271"/>
      <c r="J623" s="271"/>
      <c r="K623" s="235"/>
      <c r="M623" s="271"/>
      <c r="N623" s="235"/>
    </row>
    <row r="624" spans="1:14" ht="14.25" customHeight="1" x14ac:dyDescent="0.25">
      <c r="A624" s="235"/>
      <c r="F624" s="271"/>
      <c r="I624" s="271"/>
      <c r="J624" s="271"/>
      <c r="K624" s="235"/>
      <c r="M624" s="271"/>
      <c r="N624" s="235"/>
    </row>
    <row r="625" spans="1:14" ht="14.25" customHeight="1" x14ac:dyDescent="0.25">
      <c r="A625" s="235"/>
      <c r="F625" s="271"/>
      <c r="I625" s="271"/>
      <c r="J625" s="271"/>
      <c r="K625" s="235"/>
      <c r="M625" s="271"/>
      <c r="N625" s="235"/>
    </row>
    <row r="626" spans="1:14" ht="14.25" customHeight="1" x14ac:dyDescent="0.25">
      <c r="A626" s="235"/>
      <c r="F626" s="271"/>
      <c r="I626" s="271"/>
      <c r="J626" s="271"/>
      <c r="K626" s="235"/>
      <c r="M626" s="271"/>
      <c r="N626" s="235"/>
    </row>
    <row r="627" spans="1:14" ht="14.25" customHeight="1" x14ac:dyDescent="0.25">
      <c r="A627" s="235"/>
      <c r="F627" s="271"/>
      <c r="I627" s="271"/>
      <c r="J627" s="271"/>
      <c r="K627" s="235"/>
      <c r="M627" s="271"/>
      <c r="N627" s="235"/>
    </row>
    <row r="628" spans="1:14" ht="14.25" customHeight="1" x14ac:dyDescent="0.25">
      <c r="A628" s="235"/>
      <c r="F628" s="271"/>
      <c r="I628" s="271"/>
      <c r="J628" s="271"/>
      <c r="K628" s="235"/>
      <c r="M628" s="271"/>
      <c r="N628" s="235"/>
    </row>
    <row r="629" spans="1:14" ht="14.25" customHeight="1" x14ac:dyDescent="0.25">
      <c r="A629" s="235"/>
      <c r="F629" s="271"/>
      <c r="I629" s="271"/>
      <c r="J629" s="271"/>
      <c r="K629" s="235"/>
      <c r="M629" s="271"/>
      <c r="N629" s="235"/>
    </row>
    <row r="630" spans="1:14" ht="14.25" customHeight="1" x14ac:dyDescent="0.25">
      <c r="A630" s="235"/>
      <c r="F630" s="271"/>
      <c r="I630" s="271"/>
      <c r="J630" s="271"/>
      <c r="K630" s="235"/>
      <c r="M630" s="271"/>
      <c r="N630" s="235"/>
    </row>
    <row r="631" spans="1:14" ht="14.25" customHeight="1" x14ac:dyDescent="0.25">
      <c r="A631" s="235"/>
      <c r="F631" s="271"/>
      <c r="I631" s="271"/>
      <c r="J631" s="271"/>
      <c r="K631" s="235"/>
      <c r="M631" s="271"/>
      <c r="N631" s="235"/>
    </row>
    <row r="632" spans="1:14" ht="14.25" customHeight="1" x14ac:dyDescent="0.25">
      <c r="A632" s="235"/>
      <c r="F632" s="271"/>
      <c r="I632" s="271"/>
      <c r="J632" s="271"/>
      <c r="K632" s="235"/>
      <c r="M632" s="271"/>
      <c r="N632" s="235"/>
    </row>
    <row r="633" spans="1:14" ht="14.25" customHeight="1" x14ac:dyDescent="0.25">
      <c r="A633" s="235"/>
      <c r="F633" s="271"/>
      <c r="I633" s="271"/>
      <c r="J633" s="271"/>
      <c r="K633" s="235"/>
      <c r="M633" s="271"/>
      <c r="N633" s="235"/>
    </row>
    <row r="634" spans="1:14" ht="14.25" customHeight="1" x14ac:dyDescent="0.25">
      <c r="A634" s="235"/>
      <c r="F634" s="271"/>
      <c r="I634" s="271"/>
      <c r="J634" s="271"/>
      <c r="K634" s="235"/>
      <c r="M634" s="271"/>
      <c r="N634" s="235"/>
    </row>
    <row r="635" spans="1:14" ht="14.25" customHeight="1" x14ac:dyDescent="0.25">
      <c r="A635" s="235"/>
      <c r="F635" s="271"/>
      <c r="I635" s="271"/>
      <c r="J635" s="271"/>
      <c r="K635" s="235"/>
      <c r="M635" s="271"/>
      <c r="N635" s="235"/>
    </row>
    <row r="636" spans="1:14" ht="14.25" customHeight="1" x14ac:dyDescent="0.25">
      <c r="A636" s="235"/>
      <c r="F636" s="271"/>
      <c r="I636" s="271"/>
      <c r="J636" s="271"/>
      <c r="K636" s="235"/>
      <c r="M636" s="271"/>
      <c r="N636" s="235"/>
    </row>
    <row r="637" spans="1:14" ht="14.25" customHeight="1" x14ac:dyDescent="0.25">
      <c r="A637" s="235"/>
      <c r="F637" s="271"/>
      <c r="I637" s="271"/>
      <c r="J637" s="271"/>
      <c r="K637" s="235"/>
      <c r="M637" s="271"/>
      <c r="N637" s="235"/>
    </row>
    <row r="638" spans="1:14" ht="14.25" customHeight="1" x14ac:dyDescent="0.25">
      <c r="A638" s="235"/>
      <c r="F638" s="271"/>
      <c r="I638" s="271"/>
      <c r="J638" s="271"/>
      <c r="K638" s="235"/>
      <c r="M638" s="271"/>
      <c r="N638" s="235"/>
    </row>
    <row r="639" spans="1:14" ht="14.25" customHeight="1" x14ac:dyDescent="0.25">
      <c r="A639" s="235"/>
      <c r="F639" s="271"/>
      <c r="I639" s="271"/>
      <c r="J639" s="271"/>
      <c r="K639" s="235"/>
      <c r="M639" s="271"/>
      <c r="N639" s="235"/>
    </row>
    <row r="640" spans="1:14" ht="14.25" customHeight="1" x14ac:dyDescent="0.25">
      <c r="A640" s="235"/>
      <c r="F640" s="271"/>
      <c r="I640" s="271"/>
      <c r="J640" s="271"/>
      <c r="K640" s="235"/>
      <c r="M640" s="271"/>
      <c r="N640" s="235"/>
    </row>
    <row r="641" spans="1:14" ht="14.25" customHeight="1" x14ac:dyDescent="0.25">
      <c r="A641" s="235"/>
      <c r="F641" s="271"/>
      <c r="I641" s="271"/>
      <c r="J641" s="271"/>
      <c r="K641" s="235"/>
      <c r="M641" s="271"/>
      <c r="N641" s="235"/>
    </row>
    <row r="642" spans="1:14" ht="14.25" customHeight="1" x14ac:dyDescent="0.25">
      <c r="A642" s="235"/>
      <c r="F642" s="271"/>
      <c r="I642" s="271"/>
      <c r="J642" s="271"/>
      <c r="K642" s="235"/>
      <c r="M642" s="271"/>
      <c r="N642" s="235"/>
    </row>
    <row r="643" spans="1:14" ht="14.25" customHeight="1" x14ac:dyDescent="0.25">
      <c r="A643" s="235"/>
      <c r="F643" s="271"/>
      <c r="I643" s="271"/>
      <c r="J643" s="271"/>
      <c r="K643" s="235"/>
      <c r="M643" s="271"/>
      <c r="N643" s="235"/>
    </row>
    <row r="644" spans="1:14" ht="14.25" customHeight="1" x14ac:dyDescent="0.25">
      <c r="A644" s="235"/>
      <c r="F644" s="271"/>
      <c r="I644" s="271"/>
      <c r="J644" s="271"/>
      <c r="K644" s="235"/>
      <c r="M644" s="271"/>
      <c r="N644" s="235"/>
    </row>
    <row r="645" spans="1:14" ht="14.25" customHeight="1" x14ac:dyDescent="0.25">
      <c r="A645" s="235"/>
      <c r="F645" s="271"/>
      <c r="I645" s="271"/>
      <c r="J645" s="271"/>
      <c r="K645" s="235"/>
      <c r="M645" s="271"/>
      <c r="N645" s="235"/>
    </row>
    <row r="646" spans="1:14" ht="14.25" customHeight="1" x14ac:dyDescent="0.25">
      <c r="A646" s="235"/>
      <c r="F646" s="271"/>
      <c r="I646" s="271"/>
      <c r="J646" s="271"/>
      <c r="K646" s="235"/>
      <c r="M646" s="271"/>
      <c r="N646" s="235"/>
    </row>
    <row r="647" spans="1:14" ht="14.25" customHeight="1" x14ac:dyDescent="0.25">
      <c r="A647" s="235"/>
      <c r="F647" s="271"/>
      <c r="I647" s="271"/>
      <c r="J647" s="271"/>
      <c r="K647" s="235"/>
      <c r="M647" s="271"/>
      <c r="N647" s="235"/>
    </row>
    <row r="648" spans="1:14" ht="14.25" customHeight="1" x14ac:dyDescent="0.25">
      <c r="A648" s="235"/>
      <c r="F648" s="271"/>
      <c r="I648" s="271"/>
      <c r="J648" s="271"/>
      <c r="K648" s="235"/>
      <c r="M648" s="271"/>
      <c r="N648" s="235"/>
    </row>
    <row r="649" spans="1:14" ht="14.25" customHeight="1" x14ac:dyDescent="0.25">
      <c r="A649" s="235"/>
      <c r="F649" s="271"/>
      <c r="I649" s="271"/>
      <c r="J649" s="271"/>
      <c r="K649" s="235"/>
      <c r="M649" s="271"/>
      <c r="N649" s="235"/>
    </row>
    <row r="650" spans="1:14" ht="14.25" customHeight="1" x14ac:dyDescent="0.25">
      <c r="A650" s="235"/>
      <c r="F650" s="271"/>
      <c r="I650" s="271"/>
      <c r="J650" s="271"/>
      <c r="K650" s="235"/>
      <c r="M650" s="271"/>
      <c r="N650" s="235"/>
    </row>
    <row r="651" spans="1:14" ht="14.25" customHeight="1" x14ac:dyDescent="0.25">
      <c r="A651" s="235"/>
      <c r="F651" s="271"/>
      <c r="I651" s="271"/>
      <c r="J651" s="271"/>
      <c r="K651" s="235"/>
      <c r="M651" s="271"/>
      <c r="N651" s="235"/>
    </row>
    <row r="652" spans="1:14" ht="14.25" customHeight="1" x14ac:dyDescent="0.25">
      <c r="A652" s="235"/>
      <c r="F652" s="271"/>
      <c r="I652" s="271"/>
      <c r="J652" s="271"/>
      <c r="K652" s="235"/>
      <c r="M652" s="271"/>
      <c r="N652" s="235"/>
    </row>
    <row r="653" spans="1:14" ht="14.25" customHeight="1" x14ac:dyDescent="0.25">
      <c r="A653" s="235"/>
      <c r="F653" s="271"/>
      <c r="I653" s="271"/>
      <c r="J653" s="271"/>
      <c r="K653" s="235"/>
      <c r="M653" s="271"/>
      <c r="N653" s="235"/>
    </row>
    <row r="654" spans="1:14" ht="14.25" customHeight="1" x14ac:dyDescent="0.25">
      <c r="A654" s="235"/>
      <c r="F654" s="271"/>
      <c r="I654" s="271"/>
      <c r="J654" s="271"/>
      <c r="K654" s="235"/>
      <c r="M654" s="271"/>
      <c r="N654" s="235"/>
    </row>
    <row r="655" spans="1:14" ht="14.25" customHeight="1" x14ac:dyDescent="0.25">
      <c r="A655" s="235"/>
      <c r="F655" s="271"/>
      <c r="I655" s="271"/>
      <c r="J655" s="271"/>
      <c r="K655" s="235"/>
      <c r="M655" s="271"/>
      <c r="N655" s="235"/>
    </row>
    <row r="656" spans="1:14" ht="14.25" customHeight="1" x14ac:dyDescent="0.25">
      <c r="A656" s="235"/>
      <c r="F656" s="271"/>
      <c r="I656" s="271"/>
      <c r="J656" s="271"/>
      <c r="K656" s="235"/>
      <c r="M656" s="271"/>
      <c r="N656" s="235"/>
    </row>
    <row r="657" spans="1:14" ht="14.25" customHeight="1" x14ac:dyDescent="0.25">
      <c r="A657" s="235"/>
      <c r="F657" s="271"/>
      <c r="I657" s="271"/>
      <c r="J657" s="271"/>
      <c r="K657" s="235"/>
      <c r="M657" s="271"/>
      <c r="N657" s="235"/>
    </row>
    <row r="658" spans="1:14" ht="14.25" customHeight="1" x14ac:dyDescent="0.25">
      <c r="A658" s="235"/>
      <c r="F658" s="271"/>
      <c r="I658" s="271"/>
      <c r="J658" s="271"/>
      <c r="K658" s="235"/>
      <c r="M658" s="271"/>
      <c r="N658" s="235"/>
    </row>
    <row r="659" spans="1:14" ht="14.25" customHeight="1" x14ac:dyDescent="0.25">
      <c r="A659" s="235"/>
      <c r="F659" s="271"/>
      <c r="I659" s="271"/>
      <c r="J659" s="271"/>
      <c r="K659" s="235"/>
      <c r="M659" s="271"/>
      <c r="N659" s="235"/>
    </row>
    <row r="660" spans="1:14" ht="14.25" customHeight="1" x14ac:dyDescent="0.25">
      <c r="A660" s="235"/>
      <c r="F660" s="271"/>
      <c r="I660" s="271"/>
      <c r="J660" s="271"/>
      <c r="K660" s="235"/>
      <c r="M660" s="271"/>
      <c r="N660" s="235"/>
    </row>
    <row r="661" spans="1:14" ht="14.25" customHeight="1" x14ac:dyDescent="0.25">
      <c r="A661" s="235"/>
      <c r="F661" s="271"/>
      <c r="I661" s="271"/>
      <c r="J661" s="271"/>
      <c r="K661" s="235"/>
      <c r="M661" s="271"/>
      <c r="N661" s="235"/>
    </row>
    <row r="662" spans="1:14" ht="14.25" customHeight="1" x14ac:dyDescent="0.25">
      <c r="A662" s="235"/>
      <c r="F662" s="271"/>
      <c r="I662" s="271"/>
      <c r="J662" s="271"/>
      <c r="K662" s="235"/>
      <c r="M662" s="271"/>
      <c r="N662" s="235"/>
    </row>
    <row r="663" spans="1:14" ht="14.25" customHeight="1" x14ac:dyDescent="0.25">
      <c r="A663" s="235"/>
      <c r="F663" s="271"/>
      <c r="I663" s="271"/>
      <c r="J663" s="271"/>
      <c r="K663" s="235"/>
      <c r="M663" s="271"/>
      <c r="N663" s="235"/>
    </row>
    <row r="664" spans="1:14" ht="14.25" customHeight="1" x14ac:dyDescent="0.25">
      <c r="A664" s="235"/>
      <c r="F664" s="271"/>
      <c r="I664" s="271"/>
      <c r="J664" s="271"/>
      <c r="K664" s="235"/>
      <c r="M664" s="271"/>
      <c r="N664" s="235"/>
    </row>
    <row r="665" spans="1:14" ht="14.25" customHeight="1" x14ac:dyDescent="0.25">
      <c r="A665" s="235"/>
      <c r="F665" s="271"/>
      <c r="I665" s="271"/>
      <c r="J665" s="271"/>
      <c r="K665" s="235"/>
      <c r="M665" s="271"/>
      <c r="N665" s="235"/>
    </row>
    <row r="666" spans="1:14" ht="14.25" customHeight="1" x14ac:dyDescent="0.25">
      <c r="A666" s="235"/>
      <c r="F666" s="271"/>
      <c r="I666" s="271"/>
      <c r="J666" s="271"/>
      <c r="K666" s="235"/>
      <c r="M666" s="271"/>
      <c r="N666" s="235"/>
    </row>
    <row r="667" spans="1:14" ht="14.25" customHeight="1" x14ac:dyDescent="0.25">
      <c r="A667" s="235"/>
      <c r="F667" s="271"/>
      <c r="I667" s="271"/>
      <c r="J667" s="271"/>
      <c r="K667" s="235"/>
      <c r="M667" s="271"/>
      <c r="N667" s="235"/>
    </row>
    <row r="668" spans="1:14" ht="14.25" customHeight="1" x14ac:dyDescent="0.25">
      <c r="A668" s="235"/>
      <c r="F668" s="271"/>
      <c r="I668" s="271"/>
      <c r="J668" s="271"/>
      <c r="K668" s="235"/>
      <c r="M668" s="271"/>
      <c r="N668" s="235"/>
    </row>
    <row r="669" spans="1:14" ht="14.25" customHeight="1" x14ac:dyDescent="0.25">
      <c r="A669" s="235"/>
      <c r="F669" s="271"/>
      <c r="I669" s="271"/>
      <c r="J669" s="271"/>
      <c r="K669" s="235"/>
      <c r="M669" s="271"/>
      <c r="N669" s="235"/>
    </row>
    <row r="670" spans="1:14" ht="14.25" customHeight="1" x14ac:dyDescent="0.25">
      <c r="A670" s="235"/>
      <c r="F670" s="271"/>
      <c r="I670" s="271"/>
      <c r="J670" s="271"/>
      <c r="K670" s="235"/>
      <c r="M670" s="271"/>
      <c r="N670" s="235"/>
    </row>
    <row r="671" spans="1:14" ht="14.25" customHeight="1" x14ac:dyDescent="0.25">
      <c r="A671" s="235"/>
      <c r="F671" s="271"/>
      <c r="I671" s="271"/>
      <c r="J671" s="271"/>
      <c r="K671" s="235"/>
      <c r="M671" s="271"/>
      <c r="N671" s="235"/>
    </row>
    <row r="672" spans="1:14" ht="14.25" customHeight="1" x14ac:dyDescent="0.25">
      <c r="A672" s="235"/>
      <c r="F672" s="271"/>
      <c r="I672" s="271"/>
      <c r="J672" s="271"/>
      <c r="K672" s="235"/>
      <c r="M672" s="271"/>
      <c r="N672" s="235"/>
    </row>
    <row r="673" spans="1:14" ht="14.25" customHeight="1" x14ac:dyDescent="0.25">
      <c r="A673" s="235"/>
      <c r="F673" s="271"/>
      <c r="I673" s="271"/>
      <c r="J673" s="271"/>
      <c r="K673" s="235"/>
      <c r="M673" s="271"/>
      <c r="N673" s="235"/>
    </row>
    <row r="674" spans="1:14" ht="14.25" customHeight="1" x14ac:dyDescent="0.25">
      <c r="A674" s="235"/>
      <c r="F674" s="271"/>
      <c r="I674" s="271"/>
      <c r="J674" s="271"/>
      <c r="K674" s="235"/>
      <c r="M674" s="271"/>
      <c r="N674" s="235"/>
    </row>
    <row r="675" spans="1:14" ht="14.25" customHeight="1" x14ac:dyDescent="0.25">
      <c r="A675" s="235"/>
      <c r="F675" s="271"/>
      <c r="I675" s="271"/>
      <c r="J675" s="271"/>
      <c r="K675" s="235"/>
      <c r="M675" s="271"/>
      <c r="N675" s="235"/>
    </row>
    <row r="676" spans="1:14" ht="14.25" customHeight="1" x14ac:dyDescent="0.25">
      <c r="A676" s="235"/>
      <c r="F676" s="271"/>
      <c r="I676" s="271"/>
      <c r="J676" s="271"/>
      <c r="K676" s="235"/>
      <c r="M676" s="271"/>
      <c r="N676" s="235"/>
    </row>
    <row r="677" spans="1:14" ht="14.25" customHeight="1" x14ac:dyDescent="0.25">
      <c r="A677" s="235"/>
      <c r="F677" s="271"/>
      <c r="I677" s="271"/>
      <c r="J677" s="271"/>
      <c r="K677" s="235"/>
      <c r="M677" s="271"/>
      <c r="N677" s="235"/>
    </row>
    <row r="678" spans="1:14" ht="14.25" customHeight="1" x14ac:dyDescent="0.25">
      <c r="A678" s="235"/>
      <c r="F678" s="271"/>
      <c r="I678" s="271"/>
      <c r="J678" s="271"/>
      <c r="K678" s="235"/>
      <c r="M678" s="271"/>
      <c r="N678" s="235"/>
    </row>
    <row r="679" spans="1:14" ht="14.25" customHeight="1" x14ac:dyDescent="0.25">
      <c r="A679" s="235"/>
      <c r="F679" s="271"/>
      <c r="I679" s="271"/>
      <c r="J679" s="271"/>
      <c r="K679" s="235"/>
      <c r="M679" s="271"/>
      <c r="N679" s="235"/>
    </row>
    <row r="680" spans="1:14" ht="14.25" customHeight="1" x14ac:dyDescent="0.25">
      <c r="A680" s="235"/>
      <c r="F680" s="271"/>
      <c r="I680" s="271"/>
      <c r="J680" s="271"/>
      <c r="K680" s="235"/>
      <c r="M680" s="271"/>
      <c r="N680" s="235"/>
    </row>
    <row r="681" spans="1:14" ht="14.25" customHeight="1" x14ac:dyDescent="0.25">
      <c r="A681" s="235"/>
      <c r="F681" s="271"/>
      <c r="I681" s="271"/>
      <c r="J681" s="271"/>
      <c r="K681" s="235"/>
      <c r="M681" s="271"/>
      <c r="N681" s="235"/>
    </row>
    <row r="682" spans="1:14" ht="14.25" customHeight="1" x14ac:dyDescent="0.25">
      <c r="A682" s="235"/>
      <c r="F682" s="271"/>
      <c r="I682" s="271"/>
      <c r="J682" s="271"/>
      <c r="K682" s="235"/>
      <c r="M682" s="271"/>
      <c r="N682" s="235"/>
    </row>
    <row r="683" spans="1:14" ht="14.25" customHeight="1" x14ac:dyDescent="0.25">
      <c r="A683" s="235"/>
      <c r="F683" s="271"/>
      <c r="I683" s="271"/>
      <c r="J683" s="271"/>
      <c r="K683" s="235"/>
      <c r="M683" s="271"/>
      <c r="N683" s="235"/>
    </row>
    <row r="684" spans="1:14" ht="14.25" customHeight="1" x14ac:dyDescent="0.25">
      <c r="A684" s="235"/>
      <c r="F684" s="271"/>
      <c r="I684" s="271"/>
      <c r="J684" s="271"/>
      <c r="K684" s="235"/>
      <c r="M684" s="271"/>
      <c r="N684" s="235"/>
    </row>
    <row r="685" spans="1:14" ht="14.25" customHeight="1" x14ac:dyDescent="0.25">
      <c r="A685" s="235"/>
      <c r="F685" s="271"/>
      <c r="I685" s="271"/>
      <c r="J685" s="271"/>
      <c r="K685" s="235"/>
      <c r="M685" s="271"/>
      <c r="N685" s="235"/>
    </row>
    <row r="686" spans="1:14" ht="14.25" customHeight="1" x14ac:dyDescent="0.25">
      <c r="A686" s="235"/>
      <c r="F686" s="271"/>
      <c r="I686" s="271"/>
      <c r="J686" s="271"/>
      <c r="K686" s="235"/>
      <c r="M686" s="271"/>
      <c r="N686" s="235"/>
    </row>
    <row r="687" spans="1:14" ht="14.25" customHeight="1" x14ac:dyDescent="0.25">
      <c r="A687" s="235"/>
      <c r="F687" s="271"/>
      <c r="I687" s="271"/>
      <c r="J687" s="271"/>
      <c r="K687" s="235"/>
      <c r="M687" s="271"/>
      <c r="N687" s="235"/>
    </row>
    <row r="688" spans="1:14" ht="14.25" customHeight="1" x14ac:dyDescent="0.25">
      <c r="A688" s="235"/>
      <c r="F688" s="271"/>
      <c r="I688" s="271"/>
      <c r="J688" s="271"/>
      <c r="K688" s="235"/>
      <c r="M688" s="271"/>
      <c r="N688" s="235"/>
    </row>
    <row r="689" spans="1:14" ht="14.25" customHeight="1" x14ac:dyDescent="0.25">
      <c r="A689" s="235"/>
      <c r="F689" s="271"/>
      <c r="I689" s="271"/>
      <c r="J689" s="271"/>
      <c r="K689" s="235"/>
      <c r="M689" s="271"/>
      <c r="N689" s="235"/>
    </row>
    <row r="690" spans="1:14" ht="14.25" customHeight="1" x14ac:dyDescent="0.25">
      <c r="A690" s="235"/>
      <c r="F690" s="271"/>
      <c r="I690" s="271"/>
      <c r="J690" s="271"/>
      <c r="K690" s="235"/>
      <c r="M690" s="271"/>
      <c r="N690" s="235"/>
    </row>
    <row r="691" spans="1:14" ht="14.25" customHeight="1" x14ac:dyDescent="0.25">
      <c r="A691" s="235"/>
      <c r="F691" s="271"/>
      <c r="I691" s="271"/>
      <c r="J691" s="271"/>
      <c r="K691" s="235"/>
      <c r="M691" s="271"/>
      <c r="N691" s="235"/>
    </row>
    <row r="692" spans="1:14" ht="14.25" customHeight="1" x14ac:dyDescent="0.25">
      <c r="A692" s="235"/>
      <c r="F692" s="271"/>
      <c r="I692" s="271"/>
      <c r="J692" s="271"/>
      <c r="K692" s="235"/>
      <c r="M692" s="271"/>
      <c r="N692" s="235"/>
    </row>
    <row r="693" spans="1:14" ht="14.25" customHeight="1" x14ac:dyDescent="0.25">
      <c r="A693" s="235"/>
      <c r="F693" s="271"/>
      <c r="I693" s="271"/>
      <c r="J693" s="271"/>
      <c r="K693" s="235"/>
      <c r="M693" s="271"/>
      <c r="N693" s="235"/>
    </row>
    <row r="694" spans="1:14" ht="14.25" customHeight="1" x14ac:dyDescent="0.25">
      <c r="A694" s="235"/>
      <c r="F694" s="271"/>
      <c r="I694" s="271"/>
      <c r="J694" s="271"/>
      <c r="K694" s="235"/>
      <c r="M694" s="271"/>
      <c r="N694" s="235"/>
    </row>
    <row r="695" spans="1:14" ht="14.25" customHeight="1" x14ac:dyDescent="0.25">
      <c r="A695" s="235"/>
      <c r="F695" s="271"/>
      <c r="I695" s="271"/>
      <c r="J695" s="271"/>
      <c r="K695" s="235"/>
      <c r="M695" s="271"/>
      <c r="N695" s="235"/>
    </row>
    <row r="696" spans="1:14" ht="14.25" customHeight="1" x14ac:dyDescent="0.25">
      <c r="A696" s="235"/>
      <c r="F696" s="271"/>
      <c r="I696" s="271"/>
      <c r="J696" s="271"/>
      <c r="K696" s="235"/>
      <c r="M696" s="271"/>
      <c r="N696" s="235"/>
    </row>
    <row r="697" spans="1:14" ht="14.25" customHeight="1" x14ac:dyDescent="0.25">
      <c r="A697" s="235"/>
      <c r="F697" s="271"/>
      <c r="I697" s="271"/>
      <c r="J697" s="271"/>
      <c r="K697" s="235"/>
      <c r="M697" s="271"/>
      <c r="N697" s="235"/>
    </row>
    <row r="698" spans="1:14" ht="14.25" customHeight="1" x14ac:dyDescent="0.25">
      <c r="A698" s="235"/>
      <c r="F698" s="271"/>
      <c r="I698" s="271"/>
      <c r="J698" s="271"/>
      <c r="K698" s="235"/>
      <c r="M698" s="271"/>
      <c r="N698" s="235"/>
    </row>
    <row r="699" spans="1:14" ht="14.25" customHeight="1" x14ac:dyDescent="0.25">
      <c r="A699" s="235"/>
      <c r="F699" s="271"/>
      <c r="I699" s="271"/>
      <c r="J699" s="271"/>
      <c r="K699" s="235"/>
      <c r="M699" s="271"/>
      <c r="N699" s="235"/>
    </row>
    <row r="700" spans="1:14" ht="14.25" customHeight="1" x14ac:dyDescent="0.25">
      <c r="A700" s="235"/>
      <c r="F700" s="271"/>
      <c r="I700" s="271"/>
      <c r="J700" s="271"/>
      <c r="K700" s="235"/>
      <c r="M700" s="271"/>
      <c r="N700" s="235"/>
    </row>
    <row r="701" spans="1:14" ht="14.25" customHeight="1" x14ac:dyDescent="0.25">
      <c r="A701" s="235"/>
      <c r="F701" s="271"/>
      <c r="I701" s="271"/>
      <c r="J701" s="271"/>
      <c r="K701" s="235"/>
      <c r="M701" s="271"/>
      <c r="N701" s="235"/>
    </row>
    <row r="702" spans="1:14" ht="14.25" customHeight="1" x14ac:dyDescent="0.25">
      <c r="A702" s="235"/>
      <c r="F702" s="271"/>
      <c r="I702" s="271"/>
      <c r="J702" s="271"/>
      <c r="K702" s="235"/>
      <c r="M702" s="271"/>
      <c r="N702" s="235"/>
    </row>
    <row r="703" spans="1:14" ht="14.25" customHeight="1" x14ac:dyDescent="0.25">
      <c r="A703" s="235"/>
      <c r="F703" s="271"/>
      <c r="I703" s="271"/>
      <c r="J703" s="271"/>
      <c r="K703" s="235"/>
      <c r="M703" s="271"/>
      <c r="N703" s="235"/>
    </row>
    <row r="704" spans="1:14" ht="14.25" customHeight="1" x14ac:dyDescent="0.25">
      <c r="A704" s="235"/>
      <c r="F704" s="271"/>
      <c r="I704" s="271"/>
      <c r="J704" s="271"/>
      <c r="K704" s="235"/>
      <c r="M704" s="271"/>
      <c r="N704" s="235"/>
    </row>
    <row r="705" spans="1:14" ht="14.25" customHeight="1" x14ac:dyDescent="0.25">
      <c r="A705" s="235"/>
      <c r="F705" s="271"/>
      <c r="I705" s="271"/>
      <c r="J705" s="271"/>
      <c r="K705" s="235"/>
      <c r="M705" s="271"/>
      <c r="N705" s="235"/>
    </row>
    <row r="706" spans="1:14" ht="14.25" customHeight="1" x14ac:dyDescent="0.25">
      <c r="A706" s="235"/>
      <c r="F706" s="271"/>
      <c r="I706" s="271"/>
      <c r="J706" s="271"/>
      <c r="K706" s="235"/>
      <c r="M706" s="271"/>
      <c r="N706" s="235"/>
    </row>
    <row r="707" spans="1:14" ht="14.25" customHeight="1" x14ac:dyDescent="0.25">
      <c r="A707" s="235"/>
      <c r="F707" s="271"/>
      <c r="I707" s="271"/>
      <c r="J707" s="271"/>
      <c r="K707" s="235"/>
      <c r="M707" s="271"/>
      <c r="N707" s="235"/>
    </row>
    <row r="708" spans="1:14" ht="14.25" customHeight="1" x14ac:dyDescent="0.25">
      <c r="A708" s="235"/>
      <c r="F708" s="271"/>
      <c r="I708" s="271"/>
      <c r="J708" s="271"/>
      <c r="K708" s="235"/>
      <c r="M708" s="271"/>
      <c r="N708" s="235"/>
    </row>
    <row r="709" spans="1:14" ht="14.25" customHeight="1" x14ac:dyDescent="0.25">
      <c r="A709" s="235"/>
      <c r="F709" s="271"/>
      <c r="I709" s="271"/>
      <c r="J709" s="271"/>
      <c r="K709" s="235"/>
      <c r="M709" s="271"/>
      <c r="N709" s="235"/>
    </row>
    <row r="710" spans="1:14" ht="14.25" customHeight="1" x14ac:dyDescent="0.25">
      <c r="A710" s="235"/>
      <c r="F710" s="271"/>
      <c r="I710" s="271"/>
      <c r="J710" s="271"/>
      <c r="K710" s="235"/>
      <c r="M710" s="271"/>
      <c r="N710" s="235"/>
    </row>
    <row r="711" spans="1:14" ht="14.25" customHeight="1" x14ac:dyDescent="0.25">
      <c r="A711" s="235"/>
      <c r="F711" s="271"/>
      <c r="I711" s="271"/>
      <c r="J711" s="271"/>
      <c r="K711" s="235"/>
      <c r="M711" s="271"/>
      <c r="N711" s="235"/>
    </row>
    <row r="712" spans="1:14" ht="14.25" customHeight="1" x14ac:dyDescent="0.25">
      <c r="A712" s="235"/>
      <c r="F712" s="271"/>
      <c r="I712" s="271"/>
      <c r="J712" s="271"/>
      <c r="K712" s="235"/>
      <c r="M712" s="271"/>
      <c r="N712" s="235"/>
    </row>
    <row r="713" spans="1:14" ht="14.25" customHeight="1" x14ac:dyDescent="0.25">
      <c r="A713" s="235"/>
      <c r="F713" s="271"/>
      <c r="I713" s="271"/>
      <c r="J713" s="271"/>
      <c r="K713" s="235"/>
      <c r="M713" s="271"/>
      <c r="N713" s="235"/>
    </row>
    <row r="714" spans="1:14" ht="14.25" customHeight="1" x14ac:dyDescent="0.25">
      <c r="A714" s="235"/>
      <c r="F714" s="271"/>
      <c r="I714" s="271"/>
      <c r="J714" s="271"/>
      <c r="K714" s="235"/>
      <c r="M714" s="271"/>
      <c r="N714" s="235"/>
    </row>
    <row r="715" spans="1:14" ht="14.25" customHeight="1" x14ac:dyDescent="0.25">
      <c r="A715" s="235"/>
      <c r="F715" s="271"/>
      <c r="I715" s="271"/>
      <c r="J715" s="271"/>
      <c r="K715" s="235"/>
      <c r="M715" s="271"/>
      <c r="N715" s="235"/>
    </row>
    <row r="716" spans="1:14" ht="14.25" customHeight="1" x14ac:dyDescent="0.25">
      <c r="A716" s="235"/>
      <c r="F716" s="271"/>
      <c r="I716" s="271"/>
      <c r="J716" s="271"/>
      <c r="K716" s="235"/>
      <c r="M716" s="271"/>
      <c r="N716" s="235"/>
    </row>
    <row r="717" spans="1:14" ht="14.25" customHeight="1" x14ac:dyDescent="0.25">
      <c r="A717" s="235"/>
      <c r="F717" s="271"/>
      <c r="I717" s="271"/>
      <c r="J717" s="271"/>
      <c r="K717" s="235"/>
      <c r="M717" s="271"/>
      <c r="N717" s="235"/>
    </row>
    <row r="718" spans="1:14" ht="14.25" customHeight="1" x14ac:dyDescent="0.25">
      <c r="A718" s="235"/>
      <c r="F718" s="271"/>
      <c r="I718" s="271"/>
      <c r="J718" s="271"/>
      <c r="K718" s="235"/>
      <c r="M718" s="271"/>
      <c r="N718" s="235"/>
    </row>
    <row r="719" spans="1:14" ht="14.25" customHeight="1" x14ac:dyDescent="0.25">
      <c r="A719" s="235"/>
      <c r="F719" s="271"/>
      <c r="I719" s="271"/>
      <c r="J719" s="271"/>
      <c r="K719" s="235"/>
      <c r="M719" s="271"/>
      <c r="N719" s="235"/>
    </row>
    <row r="720" spans="1:14" ht="14.25" customHeight="1" x14ac:dyDescent="0.25">
      <c r="A720" s="235"/>
      <c r="F720" s="271"/>
      <c r="I720" s="271"/>
      <c r="J720" s="271"/>
      <c r="K720" s="235"/>
      <c r="M720" s="271"/>
      <c r="N720" s="235"/>
    </row>
    <row r="721" spans="1:14" ht="14.25" customHeight="1" x14ac:dyDescent="0.25">
      <c r="A721" s="235"/>
      <c r="F721" s="271"/>
      <c r="I721" s="271"/>
      <c r="J721" s="271"/>
      <c r="K721" s="235"/>
      <c r="M721" s="271"/>
      <c r="N721" s="235"/>
    </row>
    <row r="722" spans="1:14" ht="14.25" customHeight="1" x14ac:dyDescent="0.25">
      <c r="A722" s="235"/>
      <c r="F722" s="271"/>
      <c r="I722" s="271"/>
      <c r="J722" s="271"/>
      <c r="K722" s="235"/>
      <c r="M722" s="271"/>
      <c r="N722" s="235"/>
    </row>
    <row r="723" spans="1:14" ht="14.25" customHeight="1" x14ac:dyDescent="0.25">
      <c r="A723" s="235"/>
      <c r="F723" s="271"/>
      <c r="I723" s="271"/>
      <c r="J723" s="271"/>
      <c r="K723" s="235"/>
      <c r="M723" s="271"/>
      <c r="N723" s="235"/>
    </row>
    <row r="724" spans="1:14" ht="14.25" customHeight="1" x14ac:dyDescent="0.25">
      <c r="A724" s="235"/>
      <c r="F724" s="271"/>
      <c r="I724" s="271"/>
      <c r="J724" s="271"/>
      <c r="K724" s="235"/>
      <c r="M724" s="271"/>
      <c r="N724" s="235"/>
    </row>
    <row r="725" spans="1:14" ht="14.25" customHeight="1" x14ac:dyDescent="0.25">
      <c r="A725" s="235"/>
      <c r="F725" s="271"/>
      <c r="I725" s="271"/>
      <c r="J725" s="271"/>
      <c r="K725" s="235"/>
      <c r="M725" s="271"/>
      <c r="N725" s="235"/>
    </row>
    <row r="726" spans="1:14" ht="14.25" customHeight="1" x14ac:dyDescent="0.25">
      <c r="A726" s="235"/>
      <c r="F726" s="271"/>
      <c r="I726" s="271"/>
      <c r="J726" s="271"/>
      <c r="K726" s="235"/>
      <c r="M726" s="271"/>
      <c r="N726" s="235"/>
    </row>
    <row r="727" spans="1:14" ht="14.25" customHeight="1" x14ac:dyDescent="0.25">
      <c r="A727" s="235"/>
      <c r="F727" s="271"/>
      <c r="I727" s="271"/>
      <c r="J727" s="271"/>
      <c r="K727" s="235"/>
      <c r="M727" s="271"/>
      <c r="N727" s="235"/>
    </row>
    <row r="728" spans="1:14" ht="14.25" customHeight="1" x14ac:dyDescent="0.25">
      <c r="A728" s="235"/>
      <c r="F728" s="271"/>
      <c r="I728" s="271"/>
      <c r="J728" s="271"/>
      <c r="K728" s="235"/>
      <c r="M728" s="271"/>
      <c r="N728" s="235"/>
    </row>
    <row r="729" spans="1:14" ht="14.25" customHeight="1" x14ac:dyDescent="0.25">
      <c r="A729" s="235"/>
      <c r="F729" s="271"/>
      <c r="I729" s="271"/>
      <c r="J729" s="271"/>
      <c r="K729" s="235"/>
      <c r="M729" s="271"/>
      <c r="N729" s="235"/>
    </row>
    <row r="730" spans="1:14" ht="14.25" customHeight="1" x14ac:dyDescent="0.25">
      <c r="A730" s="235"/>
      <c r="F730" s="271"/>
      <c r="I730" s="271"/>
      <c r="J730" s="271"/>
      <c r="K730" s="235"/>
      <c r="M730" s="271"/>
      <c r="N730" s="235"/>
    </row>
    <row r="731" spans="1:14" ht="14.25" customHeight="1" x14ac:dyDescent="0.25">
      <c r="A731" s="235"/>
      <c r="F731" s="271"/>
      <c r="I731" s="271"/>
      <c r="J731" s="271"/>
      <c r="K731" s="235"/>
      <c r="M731" s="271"/>
      <c r="N731" s="235"/>
    </row>
    <row r="732" spans="1:14" ht="14.25" customHeight="1" x14ac:dyDescent="0.25">
      <c r="A732" s="235"/>
      <c r="F732" s="271"/>
      <c r="I732" s="271"/>
      <c r="J732" s="271"/>
      <c r="K732" s="235"/>
      <c r="N732" s="235"/>
    </row>
    <row r="733" spans="1:14" ht="15" customHeight="1" x14ac:dyDescent="0.25">
      <c r="F733" s="271"/>
      <c r="I733" s="271"/>
      <c r="J733" s="271"/>
    </row>
  </sheetData>
  <autoFilter ref="A10:X732" xr:uid="{1E78B0CF-4527-4C3B-87EB-C6D71FD221F1}"/>
  <mergeCells count="6">
    <mergeCell ref="L30:M30"/>
    <mergeCell ref="A5:N5"/>
    <mergeCell ref="A7:N7"/>
    <mergeCell ref="B9:J9"/>
    <mergeCell ref="L9:M9"/>
    <mergeCell ref="L14:M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37"/>
  <sheetViews>
    <sheetView showGridLines="0" zoomScale="87" zoomScaleNormal="87" zoomScaleSheetLayoutView="95" workbookViewId="0">
      <selection activeCell="D15" sqref="D15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3.71093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325" t="s">
        <v>190</v>
      </c>
      <c r="B2" s="2"/>
      <c r="C2" s="1"/>
      <c r="D2" s="1"/>
      <c r="G2" s="166"/>
      <c r="H2" s="166"/>
      <c r="I2" s="2"/>
    </row>
    <row r="3" spans="1:10" ht="12.75" customHeight="1" x14ac:dyDescent="0.25">
      <c r="A3" s="326"/>
      <c r="B3" s="2"/>
      <c r="C3" s="1"/>
      <c r="D3" s="1"/>
      <c r="G3" s="166"/>
      <c r="H3" s="166"/>
      <c r="I3" s="2"/>
    </row>
    <row r="4" spans="1:10" ht="12.75" customHeight="1" x14ac:dyDescent="0.25">
      <c r="A4" s="326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197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SUM(G15:G19)</f>
        <v>2557030.7085147006</v>
      </c>
    </row>
    <row r="14" spans="1:10" ht="15.95" customHeight="1" x14ac:dyDescent="0.25">
      <c r="A14" s="134" t="s">
        <v>14</v>
      </c>
      <c r="B14" s="332" t="s">
        <v>18</v>
      </c>
      <c r="C14" s="333"/>
      <c r="D14" s="334" t="s">
        <v>5</v>
      </c>
      <c r="E14" s="335"/>
      <c r="F14" s="133" t="s">
        <v>183</v>
      </c>
      <c r="G14" s="132" t="s">
        <v>16</v>
      </c>
      <c r="H14" s="131"/>
      <c r="J14" s="115">
        <f>G20+G21+G22</f>
        <v>1153702.77055</v>
      </c>
    </row>
    <row r="15" spans="1:10" ht="15.95" customHeight="1" x14ac:dyDescent="0.25">
      <c r="A15" s="174" t="s">
        <v>335</v>
      </c>
      <c r="B15" s="124">
        <f>AMBIENTES!M20</f>
        <v>5830.0599999999995</v>
      </c>
      <c r="C15" s="129" t="s">
        <v>2</v>
      </c>
      <c r="D15" s="128">
        <f>(16.5+550*0.1)*1.3</f>
        <v>92.95</v>
      </c>
      <c r="E15" s="130" t="s">
        <v>171</v>
      </c>
      <c r="F15" s="126" t="s">
        <v>170</v>
      </c>
      <c r="G15" s="125">
        <f>D15*B15*1.1</f>
        <v>596094.48470000003</v>
      </c>
      <c r="H15" s="131"/>
    </row>
    <row r="16" spans="1:10" ht="15.95" customHeight="1" x14ac:dyDescent="0.25">
      <c r="A16" s="174" t="s">
        <v>338</v>
      </c>
      <c r="B16" s="124">
        <f>AMBIENTES!M18</f>
        <v>36.93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1015.575</v>
      </c>
      <c r="H16" s="131"/>
    </row>
    <row r="17" spans="1:10" ht="15.95" customHeight="1" x14ac:dyDescent="0.25">
      <c r="A17" s="172" t="s">
        <v>196</v>
      </c>
      <c r="B17" s="124">
        <f>AMBIENTES!M11</f>
        <v>12434.349700000002</v>
      </c>
      <c r="C17" s="129" t="s">
        <v>2</v>
      </c>
      <c r="D17" s="128">
        <f>B17/DADOS_INICIAIS!G9</f>
        <v>0.45118279573794107</v>
      </c>
      <c r="E17" s="130" t="s">
        <v>192</v>
      </c>
      <c r="F17" s="126" t="s">
        <v>170</v>
      </c>
      <c r="G17" s="125">
        <f>+B17*(100.41-35)*1.1</f>
        <v>894663.89526470017</v>
      </c>
      <c r="H17" s="131"/>
    </row>
    <row r="18" spans="1:10" ht="15.95" customHeight="1" x14ac:dyDescent="0.25">
      <c r="A18" s="172" t="s">
        <v>195</v>
      </c>
      <c r="B18" s="124">
        <f>AMBIENTES!M12</f>
        <v>6407.3</v>
      </c>
      <c r="C18" s="129" t="s">
        <v>2</v>
      </c>
      <c r="D18" s="128">
        <f>B18/DADOS_INICIAIS!G9</f>
        <v>0.23249012589148185</v>
      </c>
      <c r="E18" s="130" t="s">
        <v>192</v>
      </c>
      <c r="F18" s="126" t="s">
        <v>170</v>
      </c>
      <c r="G18" s="125">
        <f>+B18*25*1.1</f>
        <v>176200.75</v>
      </c>
      <c r="H18" s="131"/>
    </row>
    <row r="19" spans="1:10" ht="15.95" customHeight="1" x14ac:dyDescent="0.25">
      <c r="A19" s="172" t="s">
        <v>655</v>
      </c>
      <c r="B19" s="124">
        <f>B17</f>
        <v>12434.349700000002</v>
      </c>
      <c r="C19" s="129" t="s">
        <v>2</v>
      </c>
      <c r="D19" s="169">
        <v>35</v>
      </c>
      <c r="E19" s="130" t="s">
        <v>192</v>
      </c>
      <c r="F19" s="126" t="s">
        <v>170</v>
      </c>
      <c r="G19" s="125">
        <f>+B19*65*1.1</f>
        <v>889056.00355000026</v>
      </c>
      <c r="H19" s="131"/>
    </row>
    <row r="20" spans="1:10" ht="27" customHeight="1" x14ac:dyDescent="0.25">
      <c r="A20" s="173" t="s">
        <v>194</v>
      </c>
      <c r="B20" s="171">
        <f>ALVENARIA!D10+ALVENARIA!D11*2</f>
        <v>22080.435800000003</v>
      </c>
      <c r="C20" s="170" t="s">
        <v>2</v>
      </c>
      <c r="D20" s="169">
        <v>2</v>
      </c>
      <c r="E20" s="127" t="s">
        <v>192</v>
      </c>
      <c r="F20" s="168" t="s">
        <v>170</v>
      </c>
      <c r="G20" s="125">
        <f>+B20*5*1.1</f>
        <v>121442.39690000004</v>
      </c>
      <c r="H20" s="123"/>
      <c r="J20" s="115">
        <f>J14+'Acabamentos de Piso e Parede'!K34</f>
        <v>2958539.6660600007</v>
      </c>
    </row>
    <row r="21" spans="1:10" ht="27" customHeight="1" x14ac:dyDescent="0.25">
      <c r="A21" s="172" t="s">
        <v>193</v>
      </c>
      <c r="B21" s="171">
        <f>B20</f>
        <v>22080.435800000003</v>
      </c>
      <c r="C21" s="170" t="s">
        <v>2</v>
      </c>
      <c r="D21" s="169">
        <v>2</v>
      </c>
      <c r="E21" s="127" t="s">
        <v>192</v>
      </c>
      <c r="F21" s="168" t="s">
        <v>170</v>
      </c>
      <c r="G21" s="125">
        <f>17*B21*1.1</f>
        <v>412904.14946000004</v>
      </c>
      <c r="H21" s="123"/>
    </row>
    <row r="22" spans="1:10" ht="27" customHeight="1" x14ac:dyDescent="0.25">
      <c r="A22" s="172" t="s">
        <v>654</v>
      </c>
      <c r="B22" s="171">
        <f>B20</f>
        <v>22080.435800000003</v>
      </c>
      <c r="C22" s="170" t="s">
        <v>2</v>
      </c>
      <c r="D22" s="169">
        <f>3.5+22</f>
        <v>25.5</v>
      </c>
      <c r="E22" s="130" t="s">
        <v>356</v>
      </c>
      <c r="F22" s="168" t="s">
        <v>170</v>
      </c>
      <c r="G22" s="125">
        <f t="shared" ref="G22" si="0">+B22*D22*1.1</f>
        <v>619356.2241900001</v>
      </c>
      <c r="H22" s="123"/>
    </row>
    <row r="23" spans="1:10" ht="15.95" customHeight="1" x14ac:dyDescent="0.25">
      <c r="A23" s="330" t="s">
        <v>17</v>
      </c>
      <c r="B23" s="331"/>
      <c r="C23" s="331"/>
      <c r="D23" s="331"/>
      <c r="E23" s="331"/>
      <c r="F23" s="331"/>
      <c r="G23" s="122">
        <f>SUM(G15:G22)</f>
        <v>3710733.4790647007</v>
      </c>
      <c r="H23" s="121"/>
    </row>
    <row r="24" spans="1:10" ht="15.95" customHeight="1" x14ac:dyDescent="0.25">
      <c r="A24" s="328"/>
      <c r="B24" s="329"/>
      <c r="C24" s="329"/>
      <c r="D24" s="329"/>
      <c r="E24" s="329"/>
      <c r="F24" s="329"/>
      <c r="G24" s="167"/>
      <c r="H24" s="118"/>
    </row>
    <row r="26" spans="1:10" x14ac:dyDescent="0.25">
      <c r="A26" s="327" t="s">
        <v>191</v>
      </c>
      <c r="B26" s="327"/>
      <c r="C26" s="327"/>
      <c r="D26" s="327"/>
      <c r="E26" s="327"/>
      <c r="F26" s="327"/>
      <c r="G26" s="117">
        <f>G23</f>
        <v>3710733.4790647007</v>
      </c>
      <c r="H26" s="116">
        <f>G26/DADOS_INICIAIS!F9</f>
        <v>172.50977109850265</v>
      </c>
    </row>
    <row r="28" spans="1:10" x14ac:dyDescent="0.25">
      <c r="H28" s="115">
        <f>H26/1.1</f>
        <v>156.82706463500239</v>
      </c>
    </row>
    <row r="29" spans="1:10" x14ac:dyDescent="0.25">
      <c r="B29" s="114">
        <f>B20+'Rev. Fachada'!B15</f>
        <v>35556.759600000005</v>
      </c>
    </row>
    <row r="36" spans="2:2" x14ac:dyDescent="0.25">
      <c r="B36" s="114">
        <f>B20-'Acabamentos de Piso e Parede'!K40</f>
        <v>15769.139800000001</v>
      </c>
    </row>
    <row r="37" spans="2:2" x14ac:dyDescent="0.25">
      <c r="B37" s="114">
        <f>ALVENARIA!D13*2</f>
        <v>38718.504000000015</v>
      </c>
    </row>
  </sheetData>
  <mergeCells count="6">
    <mergeCell ref="A2:A4"/>
    <mergeCell ref="A26:F26"/>
    <mergeCell ref="A24:F24"/>
    <mergeCell ref="A23:F23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26"/>
  <sheetViews>
    <sheetView showGridLines="0" zoomScale="80" zoomScaleNormal="80" zoomScaleSheetLayoutView="95" workbookViewId="0">
      <selection activeCell="G18" sqref="G1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2" t="s">
        <v>322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</row>
    <row r="10" spans="1:10" ht="21.75" x14ac:dyDescent="0.25">
      <c r="A10" s="66" t="s">
        <v>386</v>
      </c>
      <c r="B10" s="62">
        <v>0.8</v>
      </c>
      <c r="C10" s="62" t="s">
        <v>37</v>
      </c>
      <c r="D10" s="67">
        <f>AMBIENTES!M32-D11</f>
        <v>14546.635300000004</v>
      </c>
      <c r="E10" s="67" t="s">
        <v>2</v>
      </c>
      <c r="F10" s="88">
        <v>115</v>
      </c>
      <c r="G10" s="89">
        <f t="shared" ref="G10:G14" si="0">F10*D10*1.1</f>
        <v>1840149.3654500006</v>
      </c>
      <c r="H10" s="67"/>
    </row>
    <row r="11" spans="1:10" ht="21.75" x14ac:dyDescent="0.25">
      <c r="A11" s="66" t="s">
        <v>573</v>
      </c>
      <c r="B11" s="62">
        <v>0.8</v>
      </c>
      <c r="C11" s="62" t="s">
        <v>37</v>
      </c>
      <c r="D11" s="67">
        <f>AMBIENTES!J73</f>
        <v>106.6</v>
      </c>
      <c r="E11" s="67" t="s">
        <v>2</v>
      </c>
      <c r="F11" s="88">
        <f>120+20</f>
        <v>140</v>
      </c>
      <c r="G11" s="89">
        <f t="shared" ref="G11" si="1">F11*D11*1.1</f>
        <v>16416.400000000001</v>
      </c>
      <c r="H11" s="67"/>
    </row>
    <row r="12" spans="1:10" ht="21.75" x14ac:dyDescent="0.25">
      <c r="A12" s="78" t="s">
        <v>200</v>
      </c>
      <c r="B12" s="62">
        <v>1.2</v>
      </c>
      <c r="C12" s="62" t="s">
        <v>320</v>
      </c>
      <c r="D12" s="67">
        <f>D10*B12</f>
        <v>17455.962360000005</v>
      </c>
      <c r="E12" s="67" t="s">
        <v>2</v>
      </c>
      <c r="F12" s="88">
        <v>22</v>
      </c>
      <c r="G12" s="89">
        <f t="shared" si="0"/>
        <v>422434.28911200014</v>
      </c>
      <c r="H12" s="67"/>
    </row>
    <row r="13" spans="1:10" ht="21.75" x14ac:dyDescent="0.25">
      <c r="A13" s="78" t="s">
        <v>659</v>
      </c>
      <c r="B13" s="62">
        <v>1.2</v>
      </c>
      <c r="C13" s="62" t="s">
        <v>320</v>
      </c>
      <c r="D13" s="343">
        <f>SUMIFS(AMBIENTES!J11:J198,AMBIENTES!B11:B198,AMBIENTES!$B$95,AMBIENTES!E11:E198,AMBIENTES!$E$85)*B13</f>
        <v>1084.5119999999999</v>
      </c>
      <c r="E13" s="67" t="s">
        <v>4</v>
      </c>
      <c r="F13" s="285">
        <f>35*1.2</f>
        <v>42</v>
      </c>
      <c r="G13" s="89">
        <f t="shared" ref="G13" si="2">F13*D13*1.1</f>
        <v>50104.454400000002</v>
      </c>
      <c r="H13" s="67"/>
    </row>
    <row r="14" spans="1:10" ht="21.75" x14ac:dyDescent="0.25">
      <c r="A14" s="66" t="s">
        <v>406</v>
      </c>
      <c r="B14" s="62"/>
      <c r="C14" s="62" t="s">
        <v>37</v>
      </c>
      <c r="D14" s="67">
        <v>7.32</v>
      </c>
      <c r="E14" s="67" t="s">
        <v>2</v>
      </c>
      <c r="F14" s="88">
        <v>579</v>
      </c>
      <c r="G14" s="89">
        <f t="shared" si="0"/>
        <v>4662.1080000000002</v>
      </c>
      <c r="H14" s="67"/>
    </row>
    <row r="15" spans="1:10" ht="21.75" x14ac:dyDescent="0.25">
      <c r="A15" s="66" t="s">
        <v>211</v>
      </c>
      <c r="B15" s="62"/>
      <c r="C15" s="62" t="s">
        <v>37</v>
      </c>
      <c r="D15" s="67">
        <v>7.32</v>
      </c>
      <c r="E15" s="67" t="s">
        <v>2</v>
      </c>
      <c r="F15" s="88">
        <v>1000</v>
      </c>
      <c r="G15" s="89">
        <f t="shared" ref="G15" si="3">F15*D15*1.1</f>
        <v>8052.0000000000009</v>
      </c>
      <c r="H15" s="67"/>
    </row>
    <row r="16" spans="1:10" ht="21.75" x14ac:dyDescent="0.25">
      <c r="A16" s="66" t="s">
        <v>660</v>
      </c>
      <c r="B16" s="62"/>
      <c r="C16" s="62" t="s">
        <v>37</v>
      </c>
      <c r="D16" s="67">
        <f>D15</f>
        <v>7.32</v>
      </c>
      <c r="E16" s="67" t="s">
        <v>2</v>
      </c>
      <c r="F16" s="88">
        <v>110</v>
      </c>
      <c r="G16" s="89">
        <f t="shared" ref="G16" si="4">F16*D16*1.1</f>
        <v>885.72000000000014</v>
      </c>
      <c r="H16" s="67"/>
    </row>
    <row r="17" spans="1:12" ht="21" customHeight="1" x14ac:dyDescent="0.25">
      <c r="A17" s="78" t="s">
        <v>199</v>
      </c>
      <c r="B17" s="62">
        <v>0.1</v>
      </c>
      <c r="C17" s="62" t="s">
        <v>37</v>
      </c>
      <c r="D17" s="67">
        <f>AMBIENTES!M33</f>
        <v>461.67000000000013</v>
      </c>
      <c r="E17" s="67" t="s">
        <v>2</v>
      </c>
      <c r="F17" s="88">
        <v>4</v>
      </c>
      <c r="G17" s="89">
        <f>F17*D17*1.1</f>
        <v>2031.3480000000006</v>
      </c>
      <c r="H17" s="67"/>
    </row>
    <row r="18" spans="1:12" ht="21" customHeight="1" x14ac:dyDescent="0.25">
      <c r="A18" s="78" t="s">
        <v>574</v>
      </c>
      <c r="B18" s="62">
        <v>0.1</v>
      </c>
      <c r="C18" s="62" t="s">
        <v>37</v>
      </c>
      <c r="D18" s="67">
        <f>D17</f>
        <v>461.67000000000013</v>
      </c>
      <c r="E18" s="67" t="s">
        <v>2</v>
      </c>
      <c r="F18" s="88">
        <v>24</v>
      </c>
      <c r="G18" s="89">
        <f t="shared" ref="G18" si="5">F18*D18*1.1</f>
        <v>12188.088000000005</v>
      </c>
      <c r="H18" s="67"/>
    </row>
    <row r="19" spans="1:12" ht="21" customHeight="1" x14ac:dyDescent="0.25">
      <c r="A19" s="66" t="s">
        <v>198</v>
      </c>
      <c r="B19" s="62"/>
      <c r="C19" s="62" t="s">
        <v>37</v>
      </c>
      <c r="D19" s="67">
        <f>AMBIENTES!M35+AMBIENTES!M37+D15</f>
        <v>1067.5000000000002</v>
      </c>
      <c r="E19" s="67" t="s">
        <v>2</v>
      </c>
      <c r="F19" s="88">
        <f>7.5+28</f>
        <v>35.5</v>
      </c>
      <c r="G19" s="89">
        <f>F19*D19*1.05*1.1</f>
        <v>43770.168750000012</v>
      </c>
      <c r="H19" s="67"/>
    </row>
    <row r="20" spans="1:12" ht="21.75" x14ac:dyDescent="0.25">
      <c r="A20" s="66" t="s">
        <v>575</v>
      </c>
      <c r="B20" s="62"/>
      <c r="C20" s="62" t="s">
        <v>37</v>
      </c>
      <c r="D20" s="67">
        <f>D19</f>
        <v>1067.5000000000002</v>
      </c>
      <c r="E20" s="67" t="s">
        <v>2</v>
      </c>
      <c r="F20" s="88">
        <v>34</v>
      </c>
      <c r="G20" s="89">
        <f>F20*D20*1.05*1.1</f>
        <v>41920.725000000013</v>
      </c>
      <c r="H20" s="67"/>
    </row>
    <row r="21" spans="1:12" ht="21.75" x14ac:dyDescent="0.25">
      <c r="A21" s="301" t="s">
        <v>17</v>
      </c>
      <c r="B21" s="301"/>
      <c r="C21" s="301"/>
      <c r="D21" s="301"/>
      <c r="E21" s="301"/>
      <c r="F21" s="301"/>
      <c r="G21" s="90">
        <f>SUM(G10:G20)</f>
        <v>2442614.6667120014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x14ac:dyDescent="0.25">
      <c r="A23" s="311" t="s">
        <v>222</v>
      </c>
      <c r="B23" s="312"/>
      <c r="C23" s="312"/>
      <c r="D23" s="312"/>
      <c r="E23" s="312"/>
      <c r="F23" s="313"/>
      <c r="G23" s="91">
        <f>G21</f>
        <v>2442614.6667120014</v>
      </c>
      <c r="H23" s="91">
        <f>G23/DADOS_INICIAIS!F9</f>
        <v>113.55568903389452</v>
      </c>
    </row>
    <row r="26" spans="1:12" x14ac:dyDescent="0.25">
      <c r="H26" s="198">
        <f>H23/1.1</f>
        <v>103.23244457626774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L95"/>
  <sheetViews>
    <sheetView showGridLines="0" topLeftCell="A9" zoomScaleNormal="100" zoomScaleSheetLayoutView="95" workbookViewId="0">
      <selection activeCell="G20" sqref="G20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2.140625" style="112" bestFit="1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2" width="16.5703125" style="1" bestFit="1" customWidth="1"/>
    <col min="13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325" t="s">
        <v>190</v>
      </c>
      <c r="B2" s="2"/>
      <c r="C2" s="1"/>
      <c r="D2" s="1"/>
      <c r="G2" s="166"/>
      <c r="H2" s="166"/>
      <c r="I2" s="2"/>
    </row>
    <row r="3" spans="1:11" ht="12.75" customHeight="1" x14ac:dyDescent="0.25">
      <c r="A3" s="326"/>
      <c r="B3" s="2"/>
      <c r="C3" s="1"/>
      <c r="D3" s="1"/>
      <c r="G3" s="166"/>
      <c r="H3" s="166"/>
      <c r="I3" s="2"/>
    </row>
    <row r="4" spans="1:11" ht="12.75" customHeight="1" x14ac:dyDescent="0.25">
      <c r="A4" s="326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212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332" t="s">
        <v>18</v>
      </c>
      <c r="C14" s="333"/>
      <c r="D14" s="334" t="s">
        <v>5</v>
      </c>
      <c r="E14" s="335"/>
      <c r="F14" s="133" t="s">
        <v>183</v>
      </c>
      <c r="G14" s="132" t="s">
        <v>16</v>
      </c>
      <c r="H14" s="131"/>
      <c r="I14" s="2"/>
    </row>
    <row r="15" spans="1:11" ht="15.95" customHeight="1" x14ac:dyDescent="0.25">
      <c r="A15" s="172" t="s">
        <v>211</v>
      </c>
      <c r="B15" s="180">
        <f>AMBIENTES!M17</f>
        <v>2081.7799999999988</v>
      </c>
      <c r="C15" s="170" t="s">
        <v>209</v>
      </c>
      <c r="D15" s="178">
        <v>126.05</v>
      </c>
      <c r="E15" s="127" t="s">
        <v>552</v>
      </c>
      <c r="F15" s="168" t="s">
        <v>170</v>
      </c>
      <c r="G15" s="125">
        <f>+D15*B15*1.1</f>
        <v>288649.20589999983</v>
      </c>
      <c r="H15" s="131"/>
      <c r="K15" s="115"/>
    </row>
    <row r="16" spans="1:11" ht="15.95" customHeight="1" x14ac:dyDescent="0.25">
      <c r="A16" s="172" t="s">
        <v>568</v>
      </c>
      <c r="B16" s="180">
        <f>AMBIENTES!M26</f>
        <v>3692.7739999999999</v>
      </c>
      <c r="C16" s="170" t="s">
        <v>209</v>
      </c>
      <c r="D16" s="178">
        <v>142.38</v>
      </c>
      <c r="E16" s="127" t="s">
        <v>552</v>
      </c>
      <c r="F16" s="168" t="s">
        <v>170</v>
      </c>
      <c r="G16" s="125">
        <f>+D16*B16*1.1</f>
        <v>578354.87833199999</v>
      </c>
      <c r="H16" s="131"/>
      <c r="K16" s="115"/>
    </row>
    <row r="17" spans="1:11" ht="15.95" customHeight="1" x14ac:dyDescent="0.25">
      <c r="A17" s="172" t="s">
        <v>553</v>
      </c>
      <c r="B17" s="180">
        <f>AMBIENTES!M16</f>
        <v>1810.7603999999997</v>
      </c>
      <c r="C17" s="170" t="s">
        <v>209</v>
      </c>
      <c r="D17" s="178">
        <v>142.38</v>
      </c>
      <c r="E17" s="127" t="s">
        <v>552</v>
      </c>
      <c r="F17" s="168" t="s">
        <v>170</v>
      </c>
      <c r="G17" s="125">
        <f t="shared" ref="G17:G35" si="0">+D17*B17*1.1</f>
        <v>283597.67232719995</v>
      </c>
      <c r="H17" s="131"/>
      <c r="K17" s="115"/>
    </row>
    <row r="18" spans="1:11" ht="15.95" customHeight="1" x14ac:dyDescent="0.25">
      <c r="A18" s="172" t="s">
        <v>554</v>
      </c>
      <c r="B18" s="180">
        <f>AMBIENTES!M21</f>
        <v>3468.5600000000004</v>
      </c>
      <c r="C18" s="170" t="s">
        <v>209</v>
      </c>
      <c r="D18" s="178">
        <v>377</v>
      </c>
      <c r="E18" s="127" t="s">
        <v>552</v>
      </c>
      <c r="F18" s="168" t="s">
        <v>170</v>
      </c>
      <c r="G18" s="125">
        <f t="shared" si="0"/>
        <v>1438411.8320000002</v>
      </c>
      <c r="H18" s="131"/>
      <c r="K18" s="115"/>
    </row>
    <row r="19" spans="1:11" ht="15.95" customHeight="1" x14ac:dyDescent="0.25">
      <c r="A19" s="172" t="s">
        <v>555</v>
      </c>
      <c r="B19" s="180"/>
      <c r="C19" s="170" t="s">
        <v>209</v>
      </c>
      <c r="D19" s="178">
        <v>1856</v>
      </c>
      <c r="E19" s="127" t="s">
        <v>552</v>
      </c>
      <c r="F19" s="168" t="s">
        <v>170</v>
      </c>
      <c r="G19" s="125">
        <f t="shared" si="0"/>
        <v>0</v>
      </c>
      <c r="H19" s="131"/>
      <c r="K19" s="115"/>
    </row>
    <row r="20" spans="1:11" ht="15.95" customHeight="1" x14ac:dyDescent="0.25">
      <c r="A20" s="172" t="s">
        <v>556</v>
      </c>
      <c r="B20" s="180">
        <f>4.14*3*2</f>
        <v>24.839999999999996</v>
      </c>
      <c r="C20" s="170" t="s">
        <v>209</v>
      </c>
      <c r="D20" s="178">
        <v>1856</v>
      </c>
      <c r="E20" s="127" t="s">
        <v>552</v>
      </c>
      <c r="F20" s="168" t="s">
        <v>170</v>
      </c>
      <c r="G20" s="125">
        <f t="shared" si="0"/>
        <v>50713.343999999997</v>
      </c>
      <c r="H20" s="131"/>
      <c r="K20" s="115"/>
    </row>
    <row r="21" spans="1:11" ht="15.95" customHeight="1" x14ac:dyDescent="0.25">
      <c r="A21" s="172" t="s">
        <v>557</v>
      </c>
      <c r="B21" s="180"/>
      <c r="C21" s="170" t="s">
        <v>209</v>
      </c>
      <c r="D21" s="178">
        <v>298</v>
      </c>
      <c r="E21" s="127" t="s">
        <v>552</v>
      </c>
      <c r="F21" s="168" t="s">
        <v>170</v>
      </c>
      <c r="G21" s="125">
        <f t="shared" si="0"/>
        <v>0</v>
      </c>
      <c r="H21" s="131"/>
      <c r="K21" s="115"/>
    </row>
    <row r="22" spans="1:11" ht="15.95" customHeight="1" x14ac:dyDescent="0.25">
      <c r="A22" s="182" t="s">
        <v>210</v>
      </c>
      <c r="B22" s="180">
        <f>AMBIENTES!M22+AMBIENTES!M27</f>
        <v>427.5</v>
      </c>
      <c r="C22" s="170" t="s">
        <v>209</v>
      </c>
      <c r="D22" s="178">
        <v>149.82</v>
      </c>
      <c r="E22" s="127" t="s">
        <v>552</v>
      </c>
      <c r="F22" s="168" t="s">
        <v>170</v>
      </c>
      <c r="G22" s="125">
        <f t="shared" si="0"/>
        <v>70452.854999999996</v>
      </c>
      <c r="H22" s="131"/>
    </row>
    <row r="23" spans="1:11" ht="15.95" customHeight="1" x14ac:dyDescent="0.25">
      <c r="A23" s="182" t="s">
        <v>571</v>
      </c>
      <c r="B23" s="180">
        <f>AMBIENTES!M23</f>
        <v>14.64</v>
      </c>
      <c r="C23" s="170" t="s">
        <v>209</v>
      </c>
      <c r="D23" s="178">
        <v>437.8</v>
      </c>
      <c r="E23" s="127" t="s">
        <v>552</v>
      </c>
      <c r="F23" s="168" t="s">
        <v>170</v>
      </c>
      <c r="G23" s="125">
        <f t="shared" si="0"/>
        <v>7050.3312000000014</v>
      </c>
      <c r="H23" s="131"/>
    </row>
    <row r="24" spans="1:11" ht="15.95" customHeight="1" x14ac:dyDescent="0.25">
      <c r="A24" s="172" t="s">
        <v>569</v>
      </c>
      <c r="B24" s="180">
        <f>AMBIENTES!M24</f>
        <v>390.49</v>
      </c>
      <c r="C24" s="170" t="s">
        <v>209</v>
      </c>
      <c r="D24" s="178">
        <v>230</v>
      </c>
      <c r="E24" s="127" t="s">
        <v>552</v>
      </c>
      <c r="F24" s="168" t="s">
        <v>170</v>
      </c>
      <c r="G24" s="125">
        <f t="shared" si="0"/>
        <v>98793.97</v>
      </c>
      <c r="H24" s="131"/>
    </row>
    <row r="25" spans="1:11" ht="15.95" customHeight="1" x14ac:dyDescent="0.25">
      <c r="A25" s="172" t="s">
        <v>336</v>
      </c>
      <c r="B25" s="180">
        <f>AMBIENTES!M19</f>
        <v>193.2353</v>
      </c>
      <c r="C25" s="170" t="s">
        <v>209</v>
      </c>
      <c r="D25" s="178">
        <v>180</v>
      </c>
      <c r="E25" s="127" t="s">
        <v>552</v>
      </c>
      <c r="F25" s="168" t="s">
        <v>170</v>
      </c>
      <c r="G25" s="125">
        <f t="shared" si="0"/>
        <v>38260.589400000004</v>
      </c>
      <c r="H25" s="131"/>
    </row>
    <row r="26" spans="1:11" ht="15.95" customHeight="1" x14ac:dyDescent="0.25">
      <c r="A26" s="181" t="s">
        <v>570</v>
      </c>
      <c r="B26" s="180">
        <f>B20</f>
        <v>24.839999999999996</v>
      </c>
      <c r="C26" s="170" t="s">
        <v>209</v>
      </c>
      <c r="D26" s="178">
        <v>42</v>
      </c>
      <c r="E26" s="127" t="s">
        <v>552</v>
      </c>
      <c r="F26" s="168" t="s">
        <v>170</v>
      </c>
      <c r="G26" s="125">
        <f t="shared" si="0"/>
        <v>1147.6079999999997</v>
      </c>
      <c r="H26" s="131"/>
    </row>
    <row r="27" spans="1:11" ht="15.95" customHeight="1" x14ac:dyDescent="0.25">
      <c r="A27" s="181" t="s">
        <v>558</v>
      </c>
      <c r="B27" s="180">
        <f>B15+B17+B16</f>
        <v>7585.3143999999984</v>
      </c>
      <c r="C27" s="170" t="s">
        <v>209</v>
      </c>
      <c r="D27" s="178">
        <v>42</v>
      </c>
      <c r="E27" s="127" t="s">
        <v>552</v>
      </c>
      <c r="F27" s="168" t="s">
        <v>170</v>
      </c>
      <c r="G27" s="125">
        <f t="shared" si="0"/>
        <v>350441.52527999994</v>
      </c>
      <c r="H27" s="131"/>
    </row>
    <row r="28" spans="1:11" ht="15.95" customHeight="1" x14ac:dyDescent="0.25">
      <c r="A28" s="181" t="s">
        <v>559</v>
      </c>
      <c r="B28" s="180">
        <f>B22</f>
        <v>427.5</v>
      </c>
      <c r="C28" s="170" t="s">
        <v>209</v>
      </c>
      <c r="D28" s="178">
        <v>48</v>
      </c>
      <c r="E28" s="127" t="s">
        <v>552</v>
      </c>
      <c r="F28" s="168" t="s">
        <v>170</v>
      </c>
      <c r="G28" s="125">
        <f t="shared" si="0"/>
        <v>22572.000000000004</v>
      </c>
      <c r="H28" s="131"/>
    </row>
    <row r="29" spans="1:11" ht="15.95" customHeight="1" x14ac:dyDescent="0.25">
      <c r="A29" s="182" t="s">
        <v>572</v>
      </c>
      <c r="B29" s="180">
        <f>(B15+B17+B16)*1.2</f>
        <v>9102.377279999997</v>
      </c>
      <c r="C29" s="170" t="s">
        <v>4</v>
      </c>
      <c r="D29" s="178">
        <v>19.920000000000002</v>
      </c>
      <c r="E29" s="127" t="s">
        <v>552</v>
      </c>
      <c r="F29" s="168" t="s">
        <v>170</v>
      </c>
      <c r="G29" s="125">
        <f t="shared" si="0"/>
        <v>199451.29095935996</v>
      </c>
      <c r="H29" s="131"/>
      <c r="I29" s="115">
        <f>K35+'Rev. Internos Piso e Parede'!J13</f>
        <v>7331642.2581452606</v>
      </c>
    </row>
    <row r="30" spans="1:11" ht="15.95" customHeight="1" x14ac:dyDescent="0.25">
      <c r="A30" s="182" t="s">
        <v>560</v>
      </c>
      <c r="B30" s="180">
        <f>(B23+B18)*1.2</f>
        <v>4179.84</v>
      </c>
      <c r="C30" s="170" t="s">
        <v>4</v>
      </c>
      <c r="D30" s="178">
        <v>93.23</v>
      </c>
      <c r="E30" s="127" t="s">
        <v>552</v>
      </c>
      <c r="F30" s="168" t="s">
        <v>170</v>
      </c>
      <c r="G30" s="125">
        <f t="shared" si="0"/>
        <v>428655.13152000005</v>
      </c>
      <c r="H30" s="131"/>
    </row>
    <row r="31" spans="1:11" ht="15.95" customHeight="1" x14ac:dyDescent="0.25">
      <c r="A31" s="182" t="s">
        <v>561</v>
      </c>
      <c r="B31" s="180">
        <f>B29+B30</f>
        <v>13282.217279999997</v>
      </c>
      <c r="C31" s="170" t="s">
        <v>4</v>
      </c>
      <c r="D31" s="178">
        <v>22</v>
      </c>
      <c r="E31" s="127" t="s">
        <v>552</v>
      </c>
      <c r="F31" s="168" t="s">
        <v>170</v>
      </c>
      <c r="G31" s="125">
        <f t="shared" si="0"/>
        <v>321429.658176</v>
      </c>
      <c r="H31" s="131"/>
    </row>
    <row r="32" spans="1:11" ht="15.95" customHeight="1" x14ac:dyDescent="0.25">
      <c r="A32" s="181" t="s">
        <v>562</v>
      </c>
      <c r="B32" s="180">
        <f>ESQUADRIAS!D26*0.8+ESQUADRIAS!D12*1.6*0.5</f>
        <v>4930.8236159999997</v>
      </c>
      <c r="C32" s="170" t="s">
        <v>4</v>
      </c>
      <c r="D32" s="178">
        <f>110-D33</f>
        <v>98</v>
      </c>
      <c r="E32" s="127" t="s">
        <v>552</v>
      </c>
      <c r="F32" s="168" t="s">
        <v>170</v>
      </c>
      <c r="G32" s="125">
        <f t="shared" si="0"/>
        <v>531542.78580479999</v>
      </c>
      <c r="H32" s="131"/>
    </row>
    <row r="33" spans="1:12" ht="15.95" customHeight="1" x14ac:dyDescent="0.25">
      <c r="A33" s="181" t="s">
        <v>563</v>
      </c>
      <c r="B33" s="180">
        <f>B32</f>
        <v>4930.8236159999997</v>
      </c>
      <c r="C33" s="170" t="s">
        <v>4</v>
      </c>
      <c r="D33" s="178">
        <v>12</v>
      </c>
      <c r="E33" s="127" t="s">
        <v>552</v>
      </c>
      <c r="F33" s="168" t="s">
        <v>170</v>
      </c>
      <c r="G33" s="125">
        <f t="shared" si="0"/>
        <v>65086.871731200001</v>
      </c>
      <c r="H33" s="131"/>
    </row>
    <row r="34" spans="1:12" ht="15.95" customHeight="1" x14ac:dyDescent="0.25">
      <c r="A34" s="181" t="s">
        <v>564</v>
      </c>
      <c r="B34" s="180">
        <f>ESQUADRIAS!D12*1.5*0.5</f>
        <v>4042.89714</v>
      </c>
      <c r="C34" s="170" t="s">
        <v>4</v>
      </c>
      <c r="D34" s="178">
        <f>65-D35</f>
        <v>53</v>
      </c>
      <c r="E34" s="127" t="s">
        <v>552</v>
      </c>
      <c r="F34" s="168" t="s">
        <v>170</v>
      </c>
      <c r="G34" s="125">
        <f t="shared" si="0"/>
        <v>235700.90326200004</v>
      </c>
      <c r="H34" s="131"/>
      <c r="J34" s="1" t="s">
        <v>565</v>
      </c>
      <c r="K34" s="115">
        <f>SUM(G34:G36)</f>
        <v>1804836.8955100006</v>
      </c>
    </row>
    <row r="35" spans="1:12" ht="15.95" customHeight="1" x14ac:dyDescent="0.25">
      <c r="A35" s="181" t="s">
        <v>566</v>
      </c>
      <c r="B35" s="180">
        <f>B34</f>
        <v>4042.89714</v>
      </c>
      <c r="C35" s="170" t="s">
        <v>4</v>
      </c>
      <c r="D35" s="178">
        <v>12</v>
      </c>
      <c r="E35" s="127" t="s">
        <v>552</v>
      </c>
      <c r="F35" s="168" t="s">
        <v>170</v>
      </c>
      <c r="G35" s="125">
        <f t="shared" si="0"/>
        <v>53366.242248000002</v>
      </c>
      <c r="H35" s="131"/>
      <c r="J35" s="1" t="s">
        <v>567</v>
      </c>
      <c r="K35" s="115">
        <f>G37-K34</f>
        <v>4774611.54963056</v>
      </c>
    </row>
    <row r="36" spans="1:12" ht="15.95" customHeight="1" x14ac:dyDescent="0.25">
      <c r="A36" s="179" t="s">
        <v>208</v>
      </c>
      <c r="B36" s="171">
        <v>1</v>
      </c>
      <c r="C36" s="170" t="s">
        <v>27</v>
      </c>
      <c r="D36" s="178">
        <v>50</v>
      </c>
      <c r="E36" s="127" t="s">
        <v>6</v>
      </c>
      <c r="F36" s="168" t="s">
        <v>170</v>
      </c>
      <c r="G36" s="125">
        <f>D36*DADOS_INICIAIS!$G$9*1.1*B36</f>
        <v>1515769.7500000005</v>
      </c>
      <c r="H36" s="123"/>
    </row>
    <row r="37" spans="1:12" ht="15.95" customHeight="1" x14ac:dyDescent="0.25">
      <c r="A37" s="338">
        <f>20*40</f>
        <v>800</v>
      </c>
      <c r="B37" s="339"/>
      <c r="C37" s="339"/>
      <c r="D37" s="339"/>
      <c r="E37" s="339"/>
      <c r="F37" s="340"/>
      <c r="G37" s="177">
        <f>SUM(G15:G36)</f>
        <v>6579448.4451405611</v>
      </c>
      <c r="H37" s="121"/>
    </row>
    <row r="38" spans="1:12" ht="15.95" customHeight="1" x14ac:dyDescent="0.25">
      <c r="A38" s="336"/>
      <c r="B38" s="337"/>
      <c r="C38" s="337"/>
      <c r="D38" s="337"/>
      <c r="E38" s="337"/>
      <c r="F38" s="337"/>
      <c r="G38" s="167"/>
      <c r="H38" s="118"/>
    </row>
    <row r="39" spans="1:12" ht="15.95" customHeight="1" x14ac:dyDescent="0.25">
      <c r="A39" s="120"/>
      <c r="B39" s="119"/>
      <c r="C39" s="119"/>
      <c r="D39" s="119"/>
      <c r="E39" s="119"/>
      <c r="F39" s="119"/>
      <c r="G39" s="167"/>
      <c r="H39" s="118"/>
    </row>
    <row r="40" spans="1:12" x14ac:dyDescent="0.25">
      <c r="A40" s="327" t="s">
        <v>207</v>
      </c>
      <c r="B40" s="327"/>
      <c r="C40" s="327"/>
      <c r="D40" s="327"/>
      <c r="E40" s="327"/>
      <c r="F40" s="327"/>
      <c r="G40" s="117">
        <f>G37</f>
        <v>6579448.4451405611</v>
      </c>
      <c r="H40" s="116">
        <f>G40/DADOS_INICIAIS!F9</f>
        <v>305.87460717110883</v>
      </c>
      <c r="J40" s="1">
        <f>32.24*3.2*2*2*14</f>
        <v>5777.4080000000004</v>
      </c>
      <c r="K40" s="1">
        <f>J40+J41+J42</f>
        <v>6311.2960000000012</v>
      </c>
      <c r="L40" s="287">
        <f>K40*'[4]Acabamentos de Piso e Parede'!$D$36</f>
        <v>1325372.1600000001</v>
      </c>
    </row>
    <row r="41" spans="1:12" x14ac:dyDescent="0.25">
      <c r="J41" s="1">
        <f>(7.98+8.1+9.3)*3.2*2*2</f>
        <v>324.86400000000003</v>
      </c>
    </row>
    <row r="42" spans="1:12" ht="15" x14ac:dyDescent="0.25">
      <c r="B42"/>
      <c r="C42"/>
      <c r="D42"/>
      <c r="E42"/>
      <c r="F42"/>
      <c r="G42"/>
      <c r="H42" s="176">
        <f>H40/1.1</f>
        <v>278.06782470100802</v>
      </c>
      <c r="J42" s="1">
        <f>(7.98+8.35)*3.2*2*2</f>
        <v>209.024</v>
      </c>
    </row>
    <row r="43" spans="1:12" ht="15" x14ac:dyDescent="0.25">
      <c r="A43" s="200" t="s">
        <v>206</v>
      </c>
      <c r="B43" s="115">
        <v>2612.64</v>
      </c>
      <c r="D43"/>
      <c r="E43"/>
      <c r="F43"/>
      <c r="G43"/>
      <c r="H43" s="113"/>
    </row>
    <row r="44" spans="1:12" ht="15" x14ac:dyDescent="0.25">
      <c r="A44" s="184" t="s">
        <v>205</v>
      </c>
      <c r="B44" s="115">
        <v>29.99</v>
      </c>
      <c r="D44"/>
      <c r="E44"/>
      <c r="F44"/>
      <c r="G44"/>
      <c r="H44"/>
    </row>
    <row r="45" spans="1:12" ht="15" x14ac:dyDescent="0.25">
      <c r="A45" s="183" t="s">
        <v>330</v>
      </c>
      <c r="B45" s="1">
        <v>181.54000000000002</v>
      </c>
      <c r="D45"/>
      <c r="E45"/>
      <c r="F45"/>
      <c r="G45"/>
      <c r="H45" s="176"/>
      <c r="K45" s="115"/>
    </row>
    <row r="46" spans="1:12" ht="15" x14ac:dyDescent="0.25">
      <c r="A46" s="1" t="s">
        <v>331</v>
      </c>
      <c r="B46" s="2">
        <v>6243.04</v>
      </c>
      <c r="D46"/>
      <c r="E46"/>
      <c r="F46"/>
      <c r="G46"/>
      <c r="H46" s="176"/>
    </row>
    <row r="47" spans="1:12" ht="15" x14ac:dyDescent="0.25">
      <c r="A47" s="1" t="s">
        <v>203</v>
      </c>
      <c r="B47" s="1">
        <v>4526.1499999999996</v>
      </c>
      <c r="D47"/>
      <c r="E47"/>
      <c r="F47"/>
      <c r="G47"/>
      <c r="H47" s="176"/>
    </row>
    <row r="48" spans="1:12" ht="15" x14ac:dyDescent="0.25">
      <c r="A48" s="1" t="s">
        <v>332</v>
      </c>
      <c r="B48" s="2">
        <v>280.79000000000002</v>
      </c>
      <c r="D48"/>
      <c r="E48"/>
      <c r="F48"/>
      <c r="G48"/>
      <c r="H48"/>
    </row>
    <row r="49" spans="1:8" ht="15" x14ac:dyDescent="0.25">
      <c r="A49" s="1" t="s">
        <v>204</v>
      </c>
      <c r="B49" s="1">
        <v>134.38999999999999</v>
      </c>
      <c r="D49"/>
      <c r="E49"/>
      <c r="F49"/>
      <c r="G49"/>
      <c r="H49"/>
    </row>
    <row r="50" spans="1:8" ht="15" x14ac:dyDescent="0.25">
      <c r="A50" s="1" t="s">
        <v>333</v>
      </c>
      <c r="B50" s="1">
        <v>58.41</v>
      </c>
      <c r="C50"/>
      <c r="D50"/>
      <c r="E50"/>
      <c r="F50"/>
      <c r="G50"/>
      <c r="H50"/>
    </row>
    <row r="51" spans="1:8" ht="15" x14ac:dyDescent="0.25">
      <c r="A51" s="1" t="s">
        <v>334</v>
      </c>
      <c r="B51" s="1">
        <v>54.76</v>
      </c>
      <c r="C51"/>
      <c r="D51"/>
      <c r="E51"/>
      <c r="F51"/>
      <c r="G51"/>
      <c r="H51"/>
    </row>
    <row r="52" spans="1:8" ht="15" x14ac:dyDescent="0.25">
      <c r="A52" s="1" t="s">
        <v>337</v>
      </c>
      <c r="B52" s="114">
        <v>448.72</v>
      </c>
      <c r="C52"/>
      <c r="D52"/>
      <c r="E52"/>
      <c r="F52"/>
      <c r="G52"/>
      <c r="H52"/>
    </row>
    <row r="53" spans="1:8" ht="15" x14ac:dyDescent="0.25">
      <c r="A53" s="1" t="s">
        <v>342</v>
      </c>
      <c r="B53" s="114">
        <v>138.18</v>
      </c>
      <c r="C53"/>
      <c r="D53"/>
      <c r="E53"/>
      <c r="F53"/>
      <c r="G53"/>
      <c r="H53"/>
    </row>
    <row r="54" spans="1:8" ht="15" x14ac:dyDescent="0.25">
      <c r="B54"/>
      <c r="C54"/>
      <c r="D54"/>
      <c r="E54"/>
      <c r="F54"/>
      <c r="G54"/>
      <c r="H54"/>
    </row>
    <row r="55" spans="1:8" ht="15" x14ac:dyDescent="0.25">
      <c r="C55"/>
      <c r="D55"/>
      <c r="E55"/>
      <c r="F55"/>
      <c r="G55"/>
      <c r="H55"/>
    </row>
    <row r="56" spans="1:8" ht="15" x14ac:dyDescent="0.25">
      <c r="C56"/>
      <c r="D56"/>
      <c r="E56"/>
      <c r="F56"/>
      <c r="G56"/>
      <c r="H56"/>
    </row>
    <row r="57" spans="1:8" ht="15" x14ac:dyDescent="0.25">
      <c r="C57"/>
      <c r="D57"/>
      <c r="E57"/>
      <c r="F57"/>
      <c r="G57"/>
      <c r="H57"/>
    </row>
    <row r="58" spans="1:8" ht="15" x14ac:dyDescent="0.25">
      <c r="C58"/>
      <c r="D58"/>
      <c r="E58"/>
      <c r="F58"/>
      <c r="G58"/>
      <c r="H58"/>
    </row>
    <row r="59" spans="1:8" ht="15" x14ac:dyDescent="0.25">
      <c r="C59"/>
      <c r="D59"/>
      <c r="E59"/>
      <c r="F59"/>
      <c r="G59"/>
      <c r="H59"/>
    </row>
    <row r="60" spans="1:8" ht="15" x14ac:dyDescent="0.25">
      <c r="C60"/>
      <c r="D60"/>
      <c r="E60"/>
      <c r="F60"/>
      <c r="G60"/>
      <c r="H60"/>
    </row>
    <row r="61" spans="1:8" ht="15" x14ac:dyDescent="0.25">
      <c r="C61"/>
      <c r="D61"/>
      <c r="E61"/>
      <c r="F61"/>
      <c r="G61"/>
      <c r="H61"/>
    </row>
    <row r="62" spans="1:8" ht="15" x14ac:dyDescent="0.25">
      <c r="C62"/>
      <c r="D62"/>
      <c r="E62"/>
      <c r="F62"/>
      <c r="G62"/>
      <c r="H62"/>
    </row>
    <row r="63" spans="1:8" ht="15" x14ac:dyDescent="0.25">
      <c r="C63"/>
      <c r="D63"/>
      <c r="E63"/>
      <c r="F63"/>
      <c r="G63"/>
      <c r="H63"/>
    </row>
    <row r="64" spans="1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B67"/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B73"/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B78"/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B80"/>
      <c r="C80"/>
      <c r="D80"/>
      <c r="E80"/>
      <c r="F80"/>
      <c r="G80"/>
      <c r="H80"/>
    </row>
    <row r="81" spans="2:8" ht="15" x14ac:dyDescent="0.25">
      <c r="C81"/>
      <c r="D81"/>
      <c r="E81"/>
      <c r="F81"/>
      <c r="G81"/>
      <c r="H81"/>
    </row>
    <row r="82" spans="2:8" ht="15" x14ac:dyDescent="0.25">
      <c r="C82"/>
      <c r="D82"/>
      <c r="E82"/>
      <c r="F82"/>
      <c r="G82"/>
      <c r="H82"/>
    </row>
    <row r="83" spans="2:8" ht="15" x14ac:dyDescent="0.25">
      <c r="C83"/>
      <c r="D83"/>
      <c r="E83"/>
      <c r="F83"/>
      <c r="G83"/>
      <c r="H83"/>
    </row>
    <row r="84" spans="2:8" ht="15" x14ac:dyDescent="0.25">
      <c r="C84"/>
      <c r="D84"/>
      <c r="E84"/>
      <c r="F84"/>
      <c r="G84"/>
      <c r="H84"/>
    </row>
    <row r="85" spans="2:8" ht="15" x14ac:dyDescent="0.25">
      <c r="B85"/>
      <c r="C85"/>
      <c r="D85"/>
      <c r="E85"/>
      <c r="F85"/>
      <c r="G85"/>
      <c r="H85"/>
    </row>
    <row r="86" spans="2:8" ht="15" x14ac:dyDescent="0.25">
      <c r="C86"/>
      <c r="D86"/>
      <c r="E86"/>
      <c r="F86"/>
      <c r="G86"/>
      <c r="H86"/>
    </row>
    <row r="87" spans="2:8" ht="15" x14ac:dyDescent="0.25">
      <c r="C87"/>
      <c r="D87"/>
      <c r="E87"/>
      <c r="F87"/>
      <c r="G87"/>
      <c r="H87"/>
    </row>
    <row r="88" spans="2:8" ht="15" x14ac:dyDescent="0.25">
      <c r="C88"/>
      <c r="D88"/>
      <c r="E88"/>
      <c r="F88"/>
      <c r="G88"/>
      <c r="H88"/>
    </row>
    <row r="89" spans="2:8" ht="15" x14ac:dyDescent="0.25">
      <c r="C89"/>
      <c r="D89"/>
      <c r="E89"/>
      <c r="F89"/>
      <c r="G89"/>
      <c r="H89"/>
    </row>
    <row r="90" spans="2:8" ht="15" x14ac:dyDescent="0.25">
      <c r="B90"/>
      <c r="C90"/>
      <c r="D90"/>
      <c r="E90"/>
      <c r="F90"/>
      <c r="G90"/>
      <c r="H90"/>
    </row>
    <row r="91" spans="2:8" ht="15" x14ac:dyDescent="0.25">
      <c r="C91"/>
      <c r="D91"/>
      <c r="E91"/>
      <c r="F91"/>
      <c r="G91"/>
      <c r="H91"/>
    </row>
    <row r="92" spans="2:8" ht="15" x14ac:dyDescent="0.25">
      <c r="C92"/>
      <c r="D92"/>
      <c r="E92"/>
      <c r="F92"/>
      <c r="G92"/>
      <c r="H92"/>
    </row>
    <row r="93" spans="2:8" ht="15" x14ac:dyDescent="0.25">
      <c r="C93"/>
      <c r="D93"/>
      <c r="E93"/>
      <c r="F93"/>
      <c r="G93"/>
      <c r="H93"/>
    </row>
    <row r="94" spans="2:8" ht="15" x14ac:dyDescent="0.25">
      <c r="C94"/>
      <c r="D94"/>
      <c r="E94"/>
      <c r="F94"/>
      <c r="G94"/>
      <c r="H94"/>
    </row>
    <row r="95" spans="2:8" ht="15" x14ac:dyDescent="0.25">
      <c r="C95"/>
      <c r="D95"/>
      <c r="E95"/>
      <c r="F95"/>
      <c r="G95"/>
      <c r="H95"/>
    </row>
  </sheetData>
  <mergeCells count="6">
    <mergeCell ref="A40:F40"/>
    <mergeCell ref="A38:F38"/>
    <mergeCell ref="A37:F37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37"/>
  <sheetViews>
    <sheetView showGridLines="0" tabSelected="1" topLeftCell="A8" zoomScale="80" zoomScaleNormal="80" zoomScaleSheetLayoutView="95" workbookViewId="0">
      <selection activeCell="A25" sqref="A25:D25"/>
    </sheetView>
  </sheetViews>
  <sheetFormatPr defaultColWidth="9.140625" defaultRowHeight="15" x14ac:dyDescent="0.25"/>
  <cols>
    <col min="1" max="1" width="54.425781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9.57031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02" t="s">
        <v>238</v>
      </c>
      <c r="B3" s="310"/>
      <c r="C3" s="310"/>
      <c r="D3" s="303"/>
      <c r="E3" s="303"/>
      <c r="F3" s="303"/>
      <c r="G3" s="303"/>
      <c r="H3" s="304"/>
      <c r="J3" s="79"/>
    </row>
    <row r="4" spans="1:10" ht="19.5" x14ac:dyDescent="0.2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238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>
        <f>D12/DADOS_INICIAIS!F9</f>
        <v>0.25060248030244137</v>
      </c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</row>
    <row r="10" spans="1:10" ht="21.75" x14ac:dyDescent="0.25">
      <c r="A10" s="66" t="s">
        <v>587</v>
      </c>
      <c r="B10" s="62"/>
      <c r="C10" s="62"/>
      <c r="D10" s="201">
        <f>(D12+D13+D14)*1.2</f>
        <v>7096.8054240000001</v>
      </c>
      <c r="E10" s="67" t="s">
        <v>4</v>
      </c>
      <c r="F10" s="88">
        <f>66.02-F11</f>
        <v>44.019999999999996</v>
      </c>
      <c r="G10" s="89">
        <f t="shared" ref="G10:G11" si="0">F10*D10*1.1</f>
        <v>343641.51224092802</v>
      </c>
      <c r="H10" s="67" t="e">
        <f>G10/DADOS_INICIAIS!G7</f>
        <v>#VALUE!</v>
      </c>
      <c r="I10" s="55">
        <f>(G10+G11+G12)/D12</f>
        <v>1884.7129619637728</v>
      </c>
    </row>
    <row r="11" spans="1:10" ht="21.75" x14ac:dyDescent="0.25">
      <c r="A11" s="66" t="s">
        <v>588</v>
      </c>
      <c r="B11" s="62"/>
      <c r="C11" s="62"/>
      <c r="D11" s="201">
        <f>D10</f>
        <v>7096.8054240000001</v>
      </c>
      <c r="E11" s="67" t="s">
        <v>4</v>
      </c>
      <c r="F11" s="88">
        <v>22</v>
      </c>
      <c r="G11" s="89">
        <f t="shared" si="0"/>
        <v>171742.69126080003</v>
      </c>
      <c r="H11" s="67">
        <f>G11/DADOS_INICIAIS!G8</f>
        <v>28.391116675643108</v>
      </c>
    </row>
    <row r="12" spans="1:10" ht="21.75" x14ac:dyDescent="0.25">
      <c r="A12" s="66" t="s">
        <v>656</v>
      </c>
      <c r="B12" s="62">
        <v>0.15</v>
      </c>
      <c r="C12" s="62" t="s">
        <v>323</v>
      </c>
      <c r="D12" s="201">
        <f>ALVENARIA!D10*0.4</f>
        <v>5390.52952</v>
      </c>
      <c r="E12" s="67" t="s">
        <v>2</v>
      </c>
      <c r="F12" s="284">
        <f>3252.91593471596/2</f>
        <v>1626.4579673579799</v>
      </c>
      <c r="G12" s="89">
        <f t="shared" ref="G12:G17" si="1">F12*D12*1.1</f>
        <v>9644216.654690627</v>
      </c>
      <c r="H12" s="67">
        <f>G12/DADOS_INICIAIS!G9</f>
        <v>349.94227586873558</v>
      </c>
      <c r="J12" s="198">
        <f>G10+G11+G12+G13+G14+G16+G17+G18+G19+G25</f>
        <v>14557684.205035288</v>
      </c>
    </row>
    <row r="13" spans="1:10" ht="21.75" x14ac:dyDescent="0.25">
      <c r="A13" s="66" t="s">
        <v>657</v>
      </c>
      <c r="B13" s="62"/>
      <c r="C13" s="62"/>
      <c r="D13" s="201">
        <f>3.05*8.7*6+3.05*5.5*(9+6)</f>
        <v>410.83499999999992</v>
      </c>
      <c r="E13" s="67" t="s">
        <v>2</v>
      </c>
      <c r="F13" s="284">
        <v>3252.9159347159602</v>
      </c>
      <c r="G13" s="89">
        <f t="shared" si="1"/>
        <v>1470052.8898429347</v>
      </c>
      <c r="H13" s="67">
        <f>G13/DADOS_INICIAIS!G10</f>
        <v>364.96666753798735</v>
      </c>
      <c r="J13" s="198">
        <f>G20+G21+G22</f>
        <v>401688.80400000006</v>
      </c>
    </row>
    <row r="14" spans="1:10" ht="21.75" x14ac:dyDescent="0.25">
      <c r="A14" s="66" t="s">
        <v>398</v>
      </c>
      <c r="B14" s="62"/>
      <c r="C14" s="62"/>
      <c r="D14" s="201">
        <f>(10.26+2.84+13.84+8.26)*3.2</f>
        <v>112.63999999999999</v>
      </c>
      <c r="E14" s="67" t="s">
        <v>2</v>
      </c>
      <c r="F14" s="88">
        <v>1100</v>
      </c>
      <c r="G14" s="89">
        <f t="shared" si="1"/>
        <v>136294.39999999999</v>
      </c>
      <c r="H14" s="67">
        <f>G14/DADOS_INICIAIS!G11</f>
        <v>33.949768220416033</v>
      </c>
    </row>
    <row r="15" spans="1:10" ht="21.75" x14ac:dyDescent="0.25">
      <c r="A15" s="202" t="s">
        <v>397</v>
      </c>
      <c r="B15" s="62"/>
      <c r="C15" s="62"/>
      <c r="D15" s="201"/>
      <c r="E15" s="67" t="s">
        <v>2</v>
      </c>
      <c r="F15" s="88">
        <v>1500</v>
      </c>
      <c r="G15" s="89">
        <f t="shared" si="1"/>
        <v>0</v>
      </c>
      <c r="H15" s="67"/>
    </row>
    <row r="16" spans="1:10" ht="21.75" x14ac:dyDescent="0.25">
      <c r="A16" s="78" t="s">
        <v>233</v>
      </c>
      <c r="B16" s="62"/>
      <c r="C16" s="62"/>
      <c r="D16" s="67">
        <v>1</v>
      </c>
      <c r="E16" s="67" t="s">
        <v>3</v>
      </c>
      <c r="F16" s="88">
        <v>18000</v>
      </c>
      <c r="G16" s="89">
        <f t="shared" si="1"/>
        <v>19800</v>
      </c>
      <c r="H16" s="67"/>
    </row>
    <row r="17" spans="1:12" ht="21.75" x14ac:dyDescent="0.25">
      <c r="A17" s="78" t="s">
        <v>235</v>
      </c>
      <c r="B17" s="62"/>
      <c r="C17" s="62"/>
      <c r="D17" s="67">
        <f>DADOS_INICIAIS!F37</f>
        <v>223.43</v>
      </c>
      <c r="E17" s="67" t="s">
        <v>4</v>
      </c>
      <c r="F17" s="88">
        <f>950*1.1</f>
        <v>1045</v>
      </c>
      <c r="G17" s="89">
        <f t="shared" si="1"/>
        <v>256832.78500000003</v>
      </c>
      <c r="H17" s="67" t="s">
        <v>584</v>
      </c>
    </row>
    <row r="18" spans="1:12" ht="21.75" x14ac:dyDescent="0.25">
      <c r="A18" s="78" t="s">
        <v>234</v>
      </c>
      <c r="B18" s="62"/>
      <c r="C18" s="62"/>
      <c r="D18" s="67">
        <f>25.97*2*(13+1+1)+62.76*2</f>
        <v>904.61999999999989</v>
      </c>
      <c r="E18" s="67" t="s">
        <v>4</v>
      </c>
      <c r="F18" s="281">
        <f>3053.33333333333*0.8</f>
        <v>2442.6666666666638</v>
      </c>
      <c r="G18" s="89">
        <f t="shared" ref="G18:G27" si="2">F18*D18*1.1</f>
        <v>2430653.6319999974</v>
      </c>
      <c r="H18" s="67"/>
    </row>
    <row r="19" spans="1:12" ht="21.75" x14ac:dyDescent="0.25">
      <c r="A19" s="78" t="s">
        <v>328</v>
      </c>
      <c r="B19" s="62"/>
      <c r="C19" s="62"/>
      <c r="D19" s="67">
        <f>3*2*2+13.52*1.1*2*2+(1.33*2+2+1.4*2+1.74*2)*1.2+(1.7+1.25*1.2)*6</f>
        <v>103.816</v>
      </c>
      <c r="E19" s="67" t="s">
        <v>4</v>
      </c>
      <c r="F19" s="88">
        <v>150</v>
      </c>
      <c r="G19" s="89">
        <f t="shared" si="2"/>
        <v>17129.64</v>
      </c>
      <c r="H19" s="67"/>
    </row>
    <row r="20" spans="1:12" ht="21.75" x14ac:dyDescent="0.25">
      <c r="A20" s="78" t="s">
        <v>585</v>
      </c>
      <c r="B20" s="62"/>
      <c r="C20" s="62"/>
      <c r="D20" s="67">
        <f>(2.585+1.25*2+2.24*4*1.2)*2*DADOS_INICIAIS!F26</f>
        <v>728.50199999999995</v>
      </c>
      <c r="E20" s="67" t="s">
        <v>4</v>
      </c>
      <c r="F20" s="88">
        <v>120</v>
      </c>
      <c r="G20" s="89">
        <f t="shared" ref="G20" si="3">F20*D20*1.1</f>
        <v>96162.263999999996</v>
      </c>
      <c r="H20" s="67"/>
    </row>
    <row r="21" spans="1:12" ht="21.75" x14ac:dyDescent="0.25">
      <c r="A21" s="78" t="s">
        <v>236</v>
      </c>
      <c r="B21" s="62">
        <v>5</v>
      </c>
      <c r="C21" s="62" t="s">
        <v>6</v>
      </c>
      <c r="D21" s="67">
        <v>1</v>
      </c>
      <c r="E21" s="67" t="s">
        <v>27</v>
      </c>
      <c r="F21" s="88">
        <f>B21*DADOS_INICIAIS!F9</f>
        <v>107551.40000000002</v>
      </c>
      <c r="G21" s="89">
        <f t="shared" si="2"/>
        <v>118306.54000000004</v>
      </c>
      <c r="H21" s="67"/>
    </row>
    <row r="22" spans="1:12" ht="28.5" customHeight="1" x14ac:dyDescent="0.25">
      <c r="A22" s="78" t="s">
        <v>237</v>
      </c>
      <c r="B22" s="62"/>
      <c r="C22" s="62"/>
      <c r="D22" s="67">
        <f>2*2*DADOS_INICIAIS!F26</f>
        <v>92</v>
      </c>
      <c r="E22" s="67" t="s">
        <v>3</v>
      </c>
      <c r="F22" s="88">
        <v>1850</v>
      </c>
      <c r="G22" s="89">
        <f t="shared" si="2"/>
        <v>187220.00000000003</v>
      </c>
      <c r="H22" s="67"/>
    </row>
    <row r="23" spans="1:12" ht="21.75" x14ac:dyDescent="0.25">
      <c r="A23" s="78" t="s">
        <v>358</v>
      </c>
      <c r="B23" s="62"/>
      <c r="C23" s="62"/>
      <c r="D23" s="67"/>
      <c r="E23" s="67" t="s">
        <v>4</v>
      </c>
      <c r="F23" s="88">
        <v>120</v>
      </c>
      <c r="G23" s="89">
        <f t="shared" si="2"/>
        <v>0</v>
      </c>
      <c r="H23" s="67"/>
    </row>
    <row r="24" spans="1:12" ht="21.75" x14ac:dyDescent="0.25">
      <c r="A24" s="78" t="s">
        <v>359</v>
      </c>
      <c r="B24" s="62"/>
      <c r="C24" s="62"/>
      <c r="D24" s="67">
        <f>DADOS_INICIAIS!F21</f>
        <v>60</v>
      </c>
      <c r="E24" s="67" t="s">
        <v>3</v>
      </c>
      <c r="F24" s="285">
        <v>1445.1705555555554</v>
      </c>
      <c r="G24" s="89">
        <f t="shared" si="2"/>
        <v>95381.256666666668</v>
      </c>
      <c r="H24" s="67"/>
    </row>
    <row r="25" spans="1:12" ht="21.75" x14ac:dyDescent="0.25">
      <c r="A25" s="66" t="s">
        <v>586</v>
      </c>
      <c r="B25" s="62"/>
      <c r="C25" s="62"/>
      <c r="D25" s="67">
        <f>1*2*2*14+1*1*1+10+5</f>
        <v>72</v>
      </c>
      <c r="E25" s="67" t="s">
        <v>3</v>
      </c>
      <c r="F25" s="88">
        <v>850</v>
      </c>
      <c r="G25" s="89">
        <f t="shared" ref="G25" si="4">F25*D25*1.1</f>
        <v>67320</v>
      </c>
      <c r="H25" s="67"/>
    </row>
    <row r="26" spans="1:12" ht="21.75" x14ac:dyDescent="0.25">
      <c r="A26" s="66" t="s">
        <v>232</v>
      </c>
      <c r="B26" s="62"/>
      <c r="C26" s="62"/>
      <c r="D26" s="67">
        <f>12*2*2*14+8*2*2+5*2*2+22+27</f>
        <v>773</v>
      </c>
      <c r="E26" s="67" t="s">
        <v>3</v>
      </c>
      <c r="F26" s="285">
        <v>2300</v>
      </c>
      <c r="G26" s="89">
        <f t="shared" si="2"/>
        <v>1955690.0000000002</v>
      </c>
      <c r="H26" s="67"/>
    </row>
    <row r="27" spans="1:12" ht="21.75" x14ac:dyDescent="0.25">
      <c r="A27" s="66" t="s">
        <v>589</v>
      </c>
      <c r="B27" s="62"/>
      <c r="C27" s="62"/>
      <c r="D27" s="201">
        <f>D26</f>
        <v>773</v>
      </c>
      <c r="E27" s="67" t="s">
        <v>3</v>
      </c>
      <c r="F27" s="285">
        <v>140</v>
      </c>
      <c r="G27" s="89">
        <f t="shared" si="2"/>
        <v>119042.00000000001</v>
      </c>
      <c r="H27" s="67"/>
    </row>
    <row r="28" spans="1:12" ht="21.75" x14ac:dyDescent="0.25">
      <c r="A28" s="301" t="s">
        <v>17</v>
      </c>
      <c r="B28" s="301"/>
      <c r="C28" s="301"/>
      <c r="D28" s="301"/>
      <c r="E28" s="301"/>
      <c r="F28" s="301"/>
      <c r="G28" s="90">
        <f>SUM(G10:G27)</f>
        <v>17129486.265701957</v>
      </c>
      <c r="H28" s="90"/>
      <c r="K28" s="55">
        <f>4160+1440+1120+2880+4800+91680+4000</f>
        <v>110080</v>
      </c>
      <c r="L28" s="55">
        <f>K28/21</f>
        <v>5241.9047619047615</v>
      </c>
    </row>
    <row r="30" spans="1:12" ht="21.75" x14ac:dyDescent="0.25">
      <c r="A30" s="311" t="s">
        <v>339</v>
      </c>
      <c r="B30" s="312"/>
      <c r="C30" s="312"/>
      <c r="D30" s="312"/>
      <c r="E30" s="312"/>
      <c r="F30" s="313"/>
      <c r="G30" s="91">
        <f>G28</f>
        <v>17129486.265701957</v>
      </c>
      <c r="H30" s="91">
        <f>G30/DADOS_INICIAIS!F9</f>
        <v>796.33953001550663</v>
      </c>
    </row>
    <row r="32" spans="1:12" x14ac:dyDescent="0.25">
      <c r="C32" s="55" t="s">
        <v>389</v>
      </c>
      <c r="D32" s="81" t="s">
        <v>390</v>
      </c>
      <c r="E32" s="81" t="s">
        <v>395</v>
      </c>
    </row>
    <row r="33" spans="2:5" x14ac:dyDescent="0.25">
      <c r="B33" s="55" t="s">
        <v>391</v>
      </c>
      <c r="C33" s="55">
        <f>57.14*2+22.5</f>
        <v>136.78</v>
      </c>
      <c r="D33" s="81">
        <f>C33*6.22</f>
        <v>850.77159999999992</v>
      </c>
    </row>
    <row r="34" spans="2:5" x14ac:dyDescent="0.25">
      <c r="B34" s="55" t="s">
        <v>392</v>
      </c>
      <c r="D34" s="81">
        <f>16.97+94.95+752.7875+96.26+75.8068</f>
        <v>1036.7743</v>
      </c>
      <c r="E34" s="82">
        <f>146.42*2</f>
        <v>292.83999999999997</v>
      </c>
    </row>
    <row r="35" spans="2:5" x14ac:dyDescent="0.25">
      <c r="B35" s="55" t="s">
        <v>393</v>
      </c>
      <c r="C35" s="55">
        <f>29.94*2</f>
        <v>59.88</v>
      </c>
      <c r="D35" s="81">
        <f>C35*7.14</f>
        <v>427.54320000000001</v>
      </c>
    </row>
    <row r="36" spans="2:5" x14ac:dyDescent="0.25">
      <c r="B36" s="55" t="s">
        <v>394</v>
      </c>
      <c r="D36" s="81">
        <f>495.794+2.54+58.36</f>
        <v>556.69399999999996</v>
      </c>
      <c r="E36" s="82">
        <f>129.2*2</f>
        <v>258.39999999999998</v>
      </c>
    </row>
    <row r="37" spans="2:5" x14ac:dyDescent="0.25">
      <c r="D37" s="81">
        <f>SUM(D33:D36)</f>
        <v>2871.7831000000001</v>
      </c>
      <c r="E37" s="81">
        <f>SUM(E33:E36)</f>
        <v>551.24</v>
      </c>
    </row>
  </sheetData>
  <mergeCells count="5">
    <mergeCell ref="A3:H3"/>
    <mergeCell ref="B9:C9"/>
    <mergeCell ref="D9:E9"/>
    <mergeCell ref="A28:F28"/>
    <mergeCell ref="A30:F3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4"/>
  <sheetViews>
    <sheetView showGridLines="0" topLeftCell="A3" zoomScale="80" zoomScaleNormal="80" zoomScaleSheetLayoutView="95" workbookViewId="0">
      <selection activeCell="C31" sqref="C3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02" t="s">
        <v>321</v>
      </c>
      <c r="B3" s="310"/>
      <c r="C3" s="310"/>
      <c r="D3" s="303"/>
      <c r="E3" s="303"/>
      <c r="F3" s="303"/>
      <c r="G3" s="303"/>
      <c r="H3" s="304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298</v>
      </c>
      <c r="B5" s="196" t="s">
        <v>217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  <c r="L8" s="55">
        <v>70543.725999999995</v>
      </c>
    </row>
    <row r="9" spans="1:12" ht="42" customHeight="1" x14ac:dyDescent="0.25">
      <c r="A9" s="63" t="s">
        <v>14</v>
      </c>
      <c r="B9" s="306" t="s">
        <v>5</v>
      </c>
      <c r="C9" s="307"/>
      <c r="D9" s="306" t="s">
        <v>18</v>
      </c>
      <c r="E9" s="307"/>
      <c r="F9" s="65" t="s">
        <v>118</v>
      </c>
      <c r="G9" s="71" t="s">
        <v>16</v>
      </c>
      <c r="H9" s="90" t="s">
        <v>301</v>
      </c>
      <c r="L9" s="294">
        <f>L8/D10</f>
        <v>121</v>
      </c>
    </row>
    <row r="10" spans="1:12" ht="21.75" x14ac:dyDescent="0.25">
      <c r="A10" s="66" t="s">
        <v>215</v>
      </c>
      <c r="B10" s="62">
        <v>25</v>
      </c>
      <c r="C10" s="62" t="s">
        <v>171</v>
      </c>
      <c r="D10" s="67">
        <f>'Rev. Internos Piso e Parede'!B15*0.1</f>
        <v>583.00599999999997</v>
      </c>
      <c r="E10" s="67" t="s">
        <v>2</v>
      </c>
      <c r="F10" s="88">
        <v>110</v>
      </c>
      <c r="G10" s="89">
        <f t="shared" ref="G10:G19" si="0">F10*D10*1.1</f>
        <v>70543.725999999995</v>
      </c>
      <c r="H10" s="67" t="s">
        <v>576</v>
      </c>
      <c r="I10" s="55">
        <f>G10/D10</f>
        <v>121</v>
      </c>
      <c r="L10" s="294">
        <f>L9+'Rev. Internos Piso e Parede'!D15</f>
        <v>213.95</v>
      </c>
    </row>
    <row r="11" spans="1:12" ht="21.75" x14ac:dyDescent="0.25">
      <c r="A11" s="78" t="s">
        <v>214</v>
      </c>
      <c r="B11" s="62">
        <v>45</v>
      </c>
      <c r="C11" s="62" t="s">
        <v>171</v>
      </c>
      <c r="D11" s="67"/>
      <c r="E11" s="67" t="s">
        <v>2</v>
      </c>
      <c r="F11" s="88">
        <v>65</v>
      </c>
      <c r="G11" s="89">
        <f t="shared" si="0"/>
        <v>0</v>
      </c>
      <c r="H11" s="67"/>
    </row>
    <row r="12" spans="1:12" ht="21.75" x14ac:dyDescent="0.25">
      <c r="A12" s="78" t="s">
        <v>213</v>
      </c>
      <c r="B12" s="62">
        <v>15</v>
      </c>
      <c r="C12" s="62" t="s">
        <v>6</v>
      </c>
      <c r="D12" s="67">
        <f>ALVENARIA!D11*2</f>
        <v>8604.1120000000028</v>
      </c>
      <c r="E12" s="67" t="s">
        <v>2</v>
      </c>
      <c r="F12" s="88">
        <f>1.2+6.87</f>
        <v>8.07</v>
      </c>
      <c r="G12" s="89">
        <f t="shared" si="0"/>
        <v>76378.702224000037</v>
      </c>
      <c r="H12" s="67"/>
    </row>
    <row r="13" spans="1:12" ht="21.75" x14ac:dyDescent="0.25">
      <c r="A13" s="78" t="s">
        <v>577</v>
      </c>
      <c r="B13" s="62">
        <v>50</v>
      </c>
      <c r="C13" s="62" t="s">
        <v>6</v>
      </c>
      <c r="D13" s="67">
        <f>D12</f>
        <v>8604.1120000000028</v>
      </c>
      <c r="E13" s="67" t="s">
        <v>2</v>
      </c>
      <c r="F13" s="88">
        <v>20</v>
      </c>
      <c r="G13" s="89">
        <f t="shared" si="0"/>
        <v>189290.46400000007</v>
      </c>
      <c r="H13" s="67"/>
    </row>
    <row r="14" spans="1:12" ht="21.75" x14ac:dyDescent="0.25">
      <c r="A14" s="78" t="s">
        <v>578</v>
      </c>
      <c r="B14" s="62">
        <v>15</v>
      </c>
      <c r="C14" s="62" t="s">
        <v>6</v>
      </c>
      <c r="D14" s="67">
        <f>TETO!D17+TETO!D19</f>
        <v>1529.1700000000003</v>
      </c>
      <c r="E14" s="67" t="s">
        <v>2</v>
      </c>
      <c r="F14" s="88">
        <f>1.2+6.87</f>
        <v>8.07</v>
      </c>
      <c r="G14" s="89">
        <f t="shared" si="0"/>
        <v>13574.442090000004</v>
      </c>
      <c r="H14" s="67"/>
    </row>
    <row r="15" spans="1:12" ht="21.75" x14ac:dyDescent="0.25">
      <c r="A15" s="78" t="s">
        <v>579</v>
      </c>
      <c r="B15" s="62">
        <v>50</v>
      </c>
      <c r="C15" s="62" t="s">
        <v>6</v>
      </c>
      <c r="D15" s="67">
        <f>D14</f>
        <v>1529.1700000000003</v>
      </c>
      <c r="E15" s="67" t="s">
        <v>2</v>
      </c>
      <c r="F15" s="88">
        <f>22</f>
        <v>22</v>
      </c>
      <c r="G15" s="89">
        <f t="shared" si="0"/>
        <v>37005.914000000012</v>
      </c>
      <c r="H15" s="67"/>
    </row>
    <row r="16" spans="1:12" ht="21.75" x14ac:dyDescent="0.25">
      <c r="A16" s="66" t="s">
        <v>580</v>
      </c>
      <c r="B16" s="62">
        <v>15</v>
      </c>
      <c r="C16" s="62" t="s">
        <v>6</v>
      </c>
      <c r="D16" s="293">
        <f>'Rev. Internos Piso e Parede'!B20+ALVENARIA!D13*2-'Acabamentos de Piso e Parede'!K40</f>
        <v>54487.64380000002</v>
      </c>
      <c r="E16" s="67" t="s">
        <v>2</v>
      </c>
      <c r="F16" s="88">
        <f>1.2+3.2+6.74</f>
        <v>11.14</v>
      </c>
      <c r="G16" s="89">
        <f t="shared" si="0"/>
        <v>667691.58712520031</v>
      </c>
      <c r="H16" s="67"/>
    </row>
    <row r="17" spans="1:12" ht="21.75" x14ac:dyDescent="0.25">
      <c r="A17" s="66" t="s">
        <v>583</v>
      </c>
      <c r="B17" s="62">
        <v>50</v>
      </c>
      <c r="C17" s="62" t="s">
        <v>6</v>
      </c>
      <c r="D17" s="293">
        <f>D16</f>
        <v>54487.64380000002</v>
      </c>
      <c r="E17" s="67" t="s">
        <v>2</v>
      </c>
      <c r="F17" s="88">
        <f>32</f>
        <v>32</v>
      </c>
      <c r="G17" s="89">
        <f t="shared" si="0"/>
        <v>1917965.0617600009</v>
      </c>
      <c r="H17" s="67"/>
    </row>
    <row r="18" spans="1:12" ht="21.75" x14ac:dyDescent="0.25">
      <c r="A18" s="66" t="s">
        <v>581</v>
      </c>
      <c r="B18" s="62">
        <v>15</v>
      </c>
      <c r="C18" s="62" t="s">
        <v>6</v>
      </c>
      <c r="D18" s="67">
        <f>TETO!D10+TETO!D11</f>
        <v>14653.235300000004</v>
      </c>
      <c r="E18" s="67" t="s">
        <v>2</v>
      </c>
      <c r="F18" s="88">
        <f>1.2+3.2+6.74</f>
        <v>11.14</v>
      </c>
      <c r="G18" s="89">
        <f t="shared" si="0"/>
        <v>179560.74536620008</v>
      </c>
      <c r="H18" s="67"/>
    </row>
    <row r="19" spans="1:12" ht="21.75" x14ac:dyDescent="0.25">
      <c r="A19" s="66" t="s">
        <v>582</v>
      </c>
      <c r="B19" s="62">
        <v>50</v>
      </c>
      <c r="C19" s="62" t="s">
        <v>6</v>
      </c>
      <c r="D19" s="67">
        <f>D18</f>
        <v>14653.235300000004</v>
      </c>
      <c r="E19" s="67" t="s">
        <v>2</v>
      </c>
      <c r="F19" s="88">
        <f>34</f>
        <v>34</v>
      </c>
      <c r="G19" s="89">
        <f t="shared" si="0"/>
        <v>548031.00022000016</v>
      </c>
      <c r="H19" s="67"/>
    </row>
    <row r="20" spans="1:12" ht="21.75" x14ac:dyDescent="0.25">
      <c r="A20" s="301" t="s">
        <v>17</v>
      </c>
      <c r="B20" s="301"/>
      <c r="C20" s="301"/>
      <c r="D20" s="301"/>
      <c r="E20" s="301"/>
      <c r="F20" s="301"/>
      <c r="G20" s="90">
        <f>SUM(G10:G19)</f>
        <v>3700041.6427854015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311" t="s">
        <v>222</v>
      </c>
      <c r="B22" s="312"/>
      <c r="C22" s="312"/>
      <c r="D22" s="312"/>
      <c r="E22" s="312"/>
      <c r="F22" s="313"/>
      <c r="G22" s="91">
        <f>G20</f>
        <v>3700041.6427854015</v>
      </c>
      <c r="H22" s="91">
        <f>G22/DADOS_INICIAIS!F9</f>
        <v>172.01271405046333</v>
      </c>
    </row>
    <row r="24" spans="1:12" x14ac:dyDescent="0.25">
      <c r="H24" s="198">
        <f>H22/1.1</f>
        <v>156.37519459133028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20"/>
  <sheetViews>
    <sheetView showGridLines="0" topLeftCell="A2" zoomScale="85" zoomScaleNormal="85" zoomScaleSheetLayoutView="95" workbookViewId="0">
      <selection activeCell="G11" sqref="G11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52" style="45" customWidth="1"/>
    <col min="9" max="9" width="9.140625" style="1"/>
    <col min="10" max="10" width="13.7109375" style="1" bestFit="1" customWidth="1"/>
    <col min="11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02" t="s">
        <v>201</v>
      </c>
      <c r="B2" s="303"/>
      <c r="C2" s="303"/>
      <c r="D2" s="303"/>
      <c r="E2" s="303"/>
      <c r="F2" s="303"/>
      <c r="G2" s="303"/>
      <c r="H2" s="304"/>
      <c r="J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298</v>
      </c>
      <c r="B4" s="196" t="s">
        <v>217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325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06" t="s">
        <v>5</v>
      </c>
      <c r="C8" s="307"/>
      <c r="D8" s="306" t="s">
        <v>18</v>
      </c>
      <c r="E8" s="307"/>
      <c r="F8" s="65" t="s">
        <v>118</v>
      </c>
      <c r="G8" s="71" t="s">
        <v>16</v>
      </c>
      <c r="H8" s="90" t="s">
        <v>301</v>
      </c>
    </row>
    <row r="9" spans="1:10" s="55" customFormat="1" ht="65.25" x14ac:dyDescent="0.25">
      <c r="A9" s="66" t="s">
        <v>399</v>
      </c>
      <c r="B9" s="62"/>
      <c r="C9" s="62"/>
      <c r="D9" s="67">
        <f>DADOS_INICIAIS!F30-118.37</f>
        <v>620.53</v>
      </c>
      <c r="E9" s="67" t="s">
        <v>2</v>
      </c>
      <c r="F9" s="213">
        <f>52*4.2*0.6</f>
        <v>131.04</v>
      </c>
      <c r="G9" s="89">
        <f>F9*D9*1.1</f>
        <v>89445.676319999984</v>
      </c>
      <c r="H9" s="67" t="s">
        <v>590</v>
      </c>
      <c r="J9" s="55">
        <f>56/16.7</f>
        <v>3.3532934131736529</v>
      </c>
    </row>
    <row r="10" spans="1:10" s="55" customFormat="1" ht="21.75" x14ac:dyDescent="0.25">
      <c r="A10" s="66" t="s">
        <v>591</v>
      </c>
      <c r="B10" s="62"/>
      <c r="C10" s="62"/>
      <c r="D10" s="67">
        <f>D9*(1+3.35)</f>
        <v>2699.3054999999995</v>
      </c>
      <c r="E10" s="67" t="s">
        <v>2</v>
      </c>
      <c r="F10" s="213">
        <f>197.99</f>
        <v>197.99</v>
      </c>
      <c r="G10" s="89">
        <f>F10*D10*1.1</f>
        <v>587879.04553950008</v>
      </c>
      <c r="H10" s="67" t="s">
        <v>592</v>
      </c>
      <c r="I10" s="198"/>
      <c r="J10" s="55">
        <f>70/16.7</f>
        <v>4.1916167664670656</v>
      </c>
    </row>
    <row r="11" spans="1:10" s="55" customFormat="1" ht="21.75" x14ac:dyDescent="0.25">
      <c r="A11" s="66" t="s">
        <v>172</v>
      </c>
      <c r="B11" s="62"/>
      <c r="C11" s="62"/>
      <c r="D11" s="67">
        <f>D9</f>
        <v>620.53</v>
      </c>
      <c r="E11" s="67" t="s">
        <v>2</v>
      </c>
      <c r="F11" s="188">
        <v>90</v>
      </c>
      <c r="G11" s="89">
        <f>F11*D11*1.1</f>
        <v>61432.47</v>
      </c>
      <c r="H11" s="67"/>
    </row>
    <row r="12" spans="1:10" s="55" customFormat="1" ht="21.75" x14ac:dyDescent="0.25">
      <c r="A12" s="66" t="s">
        <v>593</v>
      </c>
      <c r="B12" s="62"/>
      <c r="C12" s="62"/>
      <c r="D12" s="67">
        <f>D11</f>
        <v>620.53</v>
      </c>
      <c r="E12" s="67" t="s">
        <v>2</v>
      </c>
      <c r="F12" s="286">
        <f>G12/D12</f>
        <v>643.85099999999989</v>
      </c>
      <c r="G12" s="89">
        <f>(F10/0.6)*0.4*D10+52*3.35*0.4*D9</f>
        <v>399528.86102999991</v>
      </c>
      <c r="H12" s="67"/>
    </row>
    <row r="13" spans="1:10" s="55" customFormat="1" ht="21.75" x14ac:dyDescent="0.25">
      <c r="A13" s="66" t="s">
        <v>387</v>
      </c>
      <c r="B13" s="62"/>
      <c r="C13" s="62"/>
      <c r="D13" s="67"/>
      <c r="E13" s="67" t="s">
        <v>2</v>
      </c>
      <c r="F13" s="67">
        <v>350</v>
      </c>
      <c r="G13" s="89">
        <f t="shared" ref="G13:G15" si="0">F13*D13*1.1</f>
        <v>0</v>
      </c>
      <c r="H13" s="67"/>
      <c r="J13" s="55">
        <f>300</f>
        <v>300</v>
      </c>
    </row>
    <row r="14" spans="1:10" s="55" customFormat="1" ht="21.75" x14ac:dyDescent="0.25">
      <c r="A14" s="66" t="s">
        <v>403</v>
      </c>
      <c r="B14" s="62"/>
      <c r="C14" s="62"/>
      <c r="D14" s="67"/>
      <c r="E14" s="67" t="s">
        <v>2</v>
      </c>
      <c r="F14" s="67">
        <v>280</v>
      </c>
      <c r="G14" s="89">
        <f t="shared" ref="G14" si="1">F14*D14*1.1</f>
        <v>0</v>
      </c>
      <c r="H14" s="67"/>
    </row>
    <row r="15" spans="1:10" s="55" customFormat="1" ht="21.75" x14ac:dyDescent="0.25">
      <c r="A15" s="66" t="s">
        <v>324</v>
      </c>
      <c r="B15" s="62"/>
      <c r="C15" s="62"/>
      <c r="D15" s="67"/>
      <c r="E15" s="67"/>
      <c r="F15" s="67"/>
      <c r="G15" s="89">
        <f t="shared" si="0"/>
        <v>0</v>
      </c>
      <c r="H15" s="67"/>
    </row>
    <row r="16" spans="1:10" s="55" customFormat="1" ht="21.75" x14ac:dyDescent="0.25">
      <c r="A16" s="66" t="s">
        <v>399</v>
      </c>
      <c r="B16" s="62"/>
      <c r="C16" s="62"/>
      <c r="D16" s="67"/>
      <c r="E16" s="67" t="s">
        <v>388</v>
      </c>
      <c r="F16" s="67">
        <v>800</v>
      </c>
      <c r="G16" s="89">
        <f>F16*D16*1.1</f>
        <v>0</v>
      </c>
      <c r="H16" s="67"/>
    </row>
    <row r="17" spans="1:8" s="55" customFormat="1" ht="21.75" x14ac:dyDescent="0.25">
      <c r="A17" s="66" t="s">
        <v>400</v>
      </c>
      <c r="B17" s="62"/>
      <c r="C17" s="62"/>
      <c r="D17" s="67"/>
      <c r="E17" s="67" t="s">
        <v>4</v>
      </c>
      <c r="F17" s="67">
        <v>52.5</v>
      </c>
      <c r="G17" s="89">
        <f>F17*D17*1.1</f>
        <v>0</v>
      </c>
      <c r="H17" s="67"/>
    </row>
    <row r="18" spans="1:8" s="55" customFormat="1" ht="21.75" x14ac:dyDescent="0.25">
      <c r="A18" s="301" t="s">
        <v>17</v>
      </c>
      <c r="B18" s="301"/>
      <c r="C18" s="301"/>
      <c r="D18" s="110"/>
      <c r="E18" s="110"/>
      <c r="F18" s="110"/>
      <c r="G18" s="90">
        <f>SUM(G9:G17)</f>
        <v>1138286.0528894998</v>
      </c>
      <c r="H18" s="90"/>
    </row>
    <row r="19" spans="1:8" s="55" customFormat="1" ht="21.75" x14ac:dyDescent="0.25">
      <c r="A19" s="305"/>
      <c r="B19" s="305"/>
      <c r="C19" s="305"/>
      <c r="D19" s="111"/>
      <c r="E19" s="111"/>
      <c r="F19" s="111"/>
      <c r="G19" s="59"/>
      <c r="H19" s="59"/>
    </row>
    <row r="20" spans="1:8" ht="23.25" customHeight="1" x14ac:dyDescent="0.25">
      <c r="A20" s="298" t="s">
        <v>277</v>
      </c>
      <c r="B20" s="299"/>
      <c r="C20" s="300"/>
      <c r="D20" s="109"/>
      <c r="E20" s="109"/>
      <c r="F20" s="109"/>
      <c r="G20" s="108">
        <f>G18</f>
        <v>1138286.0528894998</v>
      </c>
      <c r="H20" s="108">
        <f>G20/DADOS_INICIAIS!F9</f>
        <v>52.91823504340713</v>
      </c>
    </row>
  </sheetData>
  <mergeCells count="6">
    <mergeCell ref="A20:C20"/>
    <mergeCell ref="A2:H2"/>
    <mergeCell ref="B8:C8"/>
    <mergeCell ref="D8:E8"/>
    <mergeCell ref="A18:C18"/>
    <mergeCell ref="A19:C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M57"/>
  <sheetViews>
    <sheetView showGridLines="0" topLeftCell="A23" zoomScale="130" zoomScaleNormal="130" zoomScaleSheetLayoutView="95" workbookViewId="0">
      <selection activeCell="G38" sqref="G38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3" x14ac:dyDescent="0.25">
      <c r="B1" s="2"/>
      <c r="C1" s="1"/>
      <c r="D1" s="1"/>
      <c r="G1" s="161"/>
      <c r="H1" s="161"/>
      <c r="I1" s="2"/>
    </row>
    <row r="2" spans="1:13" ht="12.75" customHeight="1" x14ac:dyDescent="0.25">
      <c r="A2" s="325" t="s">
        <v>190</v>
      </c>
      <c r="B2" s="2"/>
      <c r="C2" s="1"/>
      <c r="D2" s="1"/>
      <c r="G2" s="166"/>
      <c r="H2" s="166"/>
      <c r="I2" s="2"/>
    </row>
    <row r="3" spans="1:13" ht="12.75" customHeight="1" x14ac:dyDescent="0.25">
      <c r="A3" s="326"/>
      <c r="B3" s="2"/>
      <c r="C3" s="1"/>
      <c r="D3" s="1"/>
      <c r="G3" s="166"/>
      <c r="H3" s="166"/>
      <c r="I3" s="2"/>
    </row>
    <row r="4" spans="1:13" ht="12.75" customHeight="1" x14ac:dyDescent="0.25">
      <c r="A4" s="326"/>
      <c r="B4" s="2"/>
      <c r="C4" s="1"/>
      <c r="D4" s="1"/>
      <c r="G4" s="166"/>
      <c r="H4" s="166"/>
      <c r="I4" s="2"/>
    </row>
    <row r="5" spans="1:13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3" x14ac:dyDescent="0.25">
      <c r="A6" s="162"/>
      <c r="B6" s="2"/>
      <c r="C6" s="1"/>
      <c r="D6" s="1"/>
      <c r="G6" s="161"/>
      <c r="H6" s="161"/>
      <c r="I6" s="2"/>
    </row>
    <row r="7" spans="1:13" x14ac:dyDescent="0.25">
      <c r="A7" s="160" t="s">
        <v>189</v>
      </c>
      <c r="B7" s="159" t="s">
        <v>288</v>
      </c>
      <c r="C7" s="158"/>
      <c r="D7" s="158"/>
      <c r="E7" s="158"/>
      <c r="F7" s="158"/>
      <c r="G7" s="158"/>
      <c r="H7" s="157"/>
      <c r="I7" s="2"/>
    </row>
    <row r="8" spans="1:13" x14ac:dyDescent="0.25">
      <c r="A8" s="156" t="s">
        <v>0</v>
      </c>
      <c r="B8" s="155" t="s">
        <v>287</v>
      </c>
      <c r="C8" s="154"/>
      <c r="D8" s="154"/>
      <c r="E8" s="154"/>
      <c r="F8" s="154"/>
      <c r="G8" s="154"/>
      <c r="H8" s="153"/>
      <c r="I8" s="2"/>
    </row>
    <row r="9" spans="1:13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3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3" ht="15.75" customHeight="1" x14ac:dyDescent="0.25">
      <c r="A12" s="144" t="s">
        <v>221</v>
      </c>
      <c r="B12" s="143"/>
      <c r="C12" s="142"/>
      <c r="D12" s="141"/>
      <c r="E12" s="140"/>
      <c r="F12" s="140"/>
      <c r="G12" s="140"/>
      <c r="H12" s="139"/>
    </row>
    <row r="13" spans="1:13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3" ht="15.75" customHeight="1" x14ac:dyDescent="0.25">
      <c r="A14" s="134" t="s">
        <v>14</v>
      </c>
      <c r="B14" s="332" t="s">
        <v>18</v>
      </c>
      <c r="C14" s="333"/>
      <c r="D14" s="334" t="s">
        <v>5</v>
      </c>
      <c r="E14" s="335"/>
      <c r="F14" s="133" t="s">
        <v>183</v>
      </c>
      <c r="G14" s="132" t="s">
        <v>16</v>
      </c>
      <c r="H14" s="131"/>
      <c r="L14" s="115"/>
    </row>
    <row r="15" spans="1:13" x14ac:dyDescent="0.25">
      <c r="A15" s="172" t="s">
        <v>595</v>
      </c>
      <c r="B15" s="175">
        <f>ALVENARIA!D10</f>
        <v>13476.3238</v>
      </c>
      <c r="C15" s="129" t="s">
        <v>2</v>
      </c>
      <c r="D15" s="124">
        <v>7.5</v>
      </c>
      <c r="E15" s="130" t="s">
        <v>171</v>
      </c>
      <c r="F15" s="126" t="s">
        <v>217</v>
      </c>
      <c r="G15" s="125">
        <f>B15*D15*1.1</f>
        <v>111179.67135</v>
      </c>
      <c r="H15" s="131"/>
      <c r="K15" s="187"/>
      <c r="L15" s="115">
        <f>12.96*6.28-5.32*5.9</f>
        <v>50.000799999999998</v>
      </c>
      <c r="M15" s="115">
        <f>L15*2</f>
        <v>100.0016</v>
      </c>
    </row>
    <row r="16" spans="1:13" x14ac:dyDescent="0.25">
      <c r="A16" s="172" t="s">
        <v>193</v>
      </c>
      <c r="B16" s="175">
        <f>B15</f>
        <v>13476.3238</v>
      </c>
      <c r="C16" s="129" t="s">
        <v>2</v>
      </c>
      <c r="D16" s="124">
        <v>17</v>
      </c>
      <c r="E16" s="130" t="s">
        <v>171</v>
      </c>
      <c r="F16" s="126" t="s">
        <v>217</v>
      </c>
      <c r="G16" s="125">
        <f t="shared" ref="G16:G17" si="0">B16*D16*1.1</f>
        <v>252007.25506000002</v>
      </c>
      <c r="H16" s="131"/>
      <c r="K16" s="186"/>
      <c r="L16" s="115">
        <f>(6.15+32.9+2.2+1.8)*3.52</f>
        <v>151.536</v>
      </c>
      <c r="M16" s="115">
        <f>L16</f>
        <v>151.536</v>
      </c>
    </row>
    <row r="17" spans="1:12" x14ac:dyDescent="0.25">
      <c r="A17" s="172" t="s">
        <v>25</v>
      </c>
      <c r="B17" s="175">
        <f>B15</f>
        <v>13476.3238</v>
      </c>
      <c r="C17" s="129" t="s">
        <v>2</v>
      </c>
      <c r="D17" s="124">
        <v>65</v>
      </c>
      <c r="E17" s="130" t="s">
        <v>171</v>
      </c>
      <c r="F17" s="126" t="s">
        <v>217</v>
      </c>
      <c r="G17" s="125">
        <f t="shared" si="0"/>
        <v>963557.15170000005</v>
      </c>
      <c r="H17" s="131"/>
      <c r="K17" s="186"/>
      <c r="L17" s="115"/>
    </row>
    <row r="18" spans="1:12" x14ac:dyDescent="0.25">
      <c r="A18" s="172" t="s">
        <v>648</v>
      </c>
      <c r="B18" s="175">
        <f>(K18+K19+K20+K21)*2+M15+M16</f>
        <v>1847.1016</v>
      </c>
      <c r="C18" s="129" t="s">
        <v>2</v>
      </c>
      <c r="D18" s="291">
        <f>(D15+D16)*1.4</f>
        <v>34.299999999999997</v>
      </c>
      <c r="E18" s="130" t="s">
        <v>171</v>
      </c>
      <c r="F18" s="126" t="s">
        <v>217</v>
      </c>
      <c r="G18" s="125">
        <f>B18*D18*1.1</f>
        <v>69691.143368000005</v>
      </c>
      <c r="H18" s="131"/>
      <c r="I18" s="1">
        <f>0.7+0.7</f>
        <v>1.4</v>
      </c>
      <c r="J18" s="1">
        <f>I18*2*2</f>
        <v>5.6</v>
      </c>
      <c r="K18" s="186">
        <f>J18*47.26</f>
        <v>264.65599999999995</v>
      </c>
      <c r="L18" s="115"/>
    </row>
    <row r="19" spans="1:12" x14ac:dyDescent="0.25">
      <c r="A19" s="172" t="s">
        <v>649</v>
      </c>
      <c r="B19" s="175">
        <f>B18</f>
        <v>1847.1016</v>
      </c>
      <c r="C19" s="129" t="s">
        <v>2</v>
      </c>
      <c r="D19" s="291">
        <f>D17*2</f>
        <v>130</v>
      </c>
      <c r="E19" s="130" t="s">
        <v>171</v>
      </c>
      <c r="F19" s="126" t="s">
        <v>217</v>
      </c>
      <c r="G19" s="125">
        <f>B19*D19*1.1</f>
        <v>264135.52880000003</v>
      </c>
      <c r="H19" s="131"/>
      <c r="I19" s="1">
        <f>0.7+1.1</f>
        <v>1.8</v>
      </c>
      <c r="J19" s="1">
        <f>I19*2</f>
        <v>3.6</v>
      </c>
      <c r="K19" s="186">
        <f t="shared" ref="K19" si="1">J19*47.26</f>
        <v>170.136</v>
      </c>
      <c r="L19" s="115"/>
    </row>
    <row r="20" spans="1:12" x14ac:dyDescent="0.25">
      <c r="A20" s="172" t="s">
        <v>357</v>
      </c>
      <c r="B20" s="175">
        <f>DADOS_INICIAIS!F31*16+DADOS_INICIAIS!F37*4</f>
        <v>4138.5200000000004</v>
      </c>
      <c r="C20" s="129" t="s">
        <v>4</v>
      </c>
      <c r="D20" s="124">
        <v>5</v>
      </c>
      <c r="E20" s="130" t="s">
        <v>171</v>
      </c>
      <c r="F20" s="205"/>
      <c r="G20" s="125">
        <f>B20*D20*1.1</f>
        <v>22761.860000000004</v>
      </c>
      <c r="H20" s="131"/>
      <c r="I20" s="1">
        <f>0.8+2</f>
        <v>2.8</v>
      </c>
      <c r="J20" s="1">
        <f>I20*2</f>
        <v>5.6</v>
      </c>
      <c r="K20" s="186">
        <f>J20*58</f>
        <v>324.79999999999995</v>
      </c>
      <c r="L20" s="115"/>
    </row>
    <row r="21" spans="1:12" x14ac:dyDescent="0.25">
      <c r="A21" s="330" t="s">
        <v>17</v>
      </c>
      <c r="B21" s="331"/>
      <c r="C21" s="331"/>
      <c r="D21" s="331"/>
      <c r="E21" s="331"/>
      <c r="F21" s="331"/>
      <c r="G21" s="122">
        <f>SUM(G15:G20)</f>
        <v>1683332.6102780001</v>
      </c>
      <c r="H21" s="121"/>
      <c r="I21" s="1">
        <f>0.8*2+9.8</f>
        <v>11.4</v>
      </c>
      <c r="J21" s="1">
        <f>I21*3.35</f>
        <v>38.190000000000005</v>
      </c>
      <c r="K21" s="186">
        <f>J21</f>
        <v>38.190000000000005</v>
      </c>
    </row>
    <row r="22" spans="1:12" ht="15.75" customHeight="1" x14ac:dyDescent="0.25">
      <c r="A22" s="328"/>
      <c r="B22" s="329"/>
      <c r="C22" s="329"/>
      <c r="D22" s="329"/>
      <c r="E22" s="329"/>
      <c r="F22" s="329"/>
      <c r="G22" s="167"/>
      <c r="H22" s="118"/>
    </row>
    <row r="23" spans="1:12" ht="15.75" customHeight="1" x14ac:dyDescent="0.25">
      <c r="A23" s="144" t="s">
        <v>220</v>
      </c>
      <c r="B23" s="143"/>
      <c r="C23" s="142"/>
      <c r="D23" s="141"/>
      <c r="E23" s="140"/>
      <c r="F23" s="140"/>
      <c r="G23" s="140"/>
      <c r="H23" s="139"/>
      <c r="J23" s="1" t="s">
        <v>219</v>
      </c>
      <c r="K23" s="115">
        <f>31.7+39.98</f>
        <v>71.679999999999993</v>
      </c>
      <c r="L23" s="1">
        <v>10</v>
      </c>
    </row>
    <row r="24" spans="1:12" ht="15.75" customHeight="1" x14ac:dyDescent="0.25">
      <c r="A24" s="138"/>
      <c r="B24" s="185"/>
      <c r="C24" s="136"/>
      <c r="D24" s="135"/>
      <c r="E24" s="135"/>
      <c r="F24" s="135"/>
      <c r="H24" s="131"/>
      <c r="K24" s="115"/>
    </row>
    <row r="25" spans="1:12" ht="15.75" customHeight="1" x14ac:dyDescent="0.25">
      <c r="A25" s="134" t="s">
        <v>14</v>
      </c>
      <c r="B25" s="332" t="s">
        <v>18</v>
      </c>
      <c r="C25" s="333"/>
      <c r="D25" s="334" t="s">
        <v>5</v>
      </c>
      <c r="E25" s="335"/>
      <c r="F25" s="133" t="s">
        <v>183</v>
      </c>
      <c r="G25" s="132" t="s">
        <v>16</v>
      </c>
      <c r="H25" s="131"/>
    </row>
    <row r="26" spans="1:12" ht="15.75" customHeight="1" x14ac:dyDescent="0.25">
      <c r="A26" s="172" t="s">
        <v>326</v>
      </c>
      <c r="B26" s="175">
        <f>B15</f>
        <v>13476.3238</v>
      </c>
      <c r="C26" s="129" t="s">
        <v>2</v>
      </c>
      <c r="D26" s="124">
        <v>25</v>
      </c>
      <c r="E26" s="130" t="s">
        <v>171</v>
      </c>
      <c r="F26" s="126" t="s">
        <v>217</v>
      </c>
      <c r="G26" s="125">
        <f t="shared" ref="G26:G31" si="2">B26*D26*1.1</f>
        <v>370598.90450000006</v>
      </c>
      <c r="H26" s="131"/>
    </row>
    <row r="27" spans="1:12" ht="15.75" customHeight="1" x14ac:dyDescent="0.25">
      <c r="A27" s="172" t="s">
        <v>650</v>
      </c>
      <c r="B27" s="175">
        <f>B18</f>
        <v>1847.1016</v>
      </c>
      <c r="C27" s="129" t="s">
        <v>2</v>
      </c>
      <c r="D27" s="291">
        <f>8*1.2</f>
        <v>9.6</v>
      </c>
      <c r="E27" s="130" t="s">
        <v>171</v>
      </c>
      <c r="F27" s="126" t="s">
        <v>217</v>
      </c>
      <c r="G27" s="125">
        <f t="shared" si="2"/>
        <v>19505.392895999998</v>
      </c>
      <c r="H27" s="131"/>
    </row>
    <row r="28" spans="1:12" ht="15.75" customHeight="1" x14ac:dyDescent="0.25">
      <c r="A28" s="172" t="s">
        <v>596</v>
      </c>
      <c r="B28" s="175">
        <f>SUM(I37:I58)</f>
        <v>2013.9953999999998</v>
      </c>
      <c r="C28" s="129" t="s">
        <v>2</v>
      </c>
      <c r="D28" s="124">
        <f>8*1.5</f>
        <v>12</v>
      </c>
      <c r="E28" s="130" t="s">
        <v>171</v>
      </c>
      <c r="F28" s="126" t="s">
        <v>217</v>
      </c>
      <c r="G28" s="125">
        <f t="shared" si="2"/>
        <v>26584.739279999998</v>
      </c>
      <c r="H28" s="131"/>
    </row>
    <row r="29" spans="1:12" ht="15.75" customHeight="1" x14ac:dyDescent="0.25">
      <c r="A29" s="172" t="s">
        <v>597</v>
      </c>
      <c r="B29" s="175">
        <f>B26</f>
        <v>13476.3238</v>
      </c>
      <c r="C29" s="129" t="s">
        <v>2</v>
      </c>
      <c r="D29" s="124">
        <v>52</v>
      </c>
      <c r="E29" s="130" t="s">
        <v>171</v>
      </c>
      <c r="F29" s="126" t="s">
        <v>217</v>
      </c>
      <c r="G29" s="125">
        <f t="shared" si="2"/>
        <v>770845.72136000008</v>
      </c>
      <c r="H29" s="131"/>
    </row>
    <row r="30" spans="1:12" ht="15.75" customHeight="1" x14ac:dyDescent="0.25">
      <c r="A30" s="172" t="s">
        <v>651</v>
      </c>
      <c r="B30" s="175">
        <f>B28</f>
        <v>2013.9953999999998</v>
      </c>
      <c r="C30" s="129" t="s">
        <v>2</v>
      </c>
      <c r="D30" s="124">
        <f>40*5</f>
        <v>200</v>
      </c>
      <c r="E30" s="130" t="s">
        <v>171</v>
      </c>
      <c r="F30" s="126" t="s">
        <v>217</v>
      </c>
      <c r="G30" s="125">
        <f t="shared" si="2"/>
        <v>443078.98800000001</v>
      </c>
      <c r="H30" s="131"/>
    </row>
    <row r="31" spans="1:12" ht="15.75" customHeight="1" x14ac:dyDescent="0.25">
      <c r="A31" s="172" t="s">
        <v>652</v>
      </c>
      <c r="B31" s="175">
        <f>B27</f>
        <v>1847.1016</v>
      </c>
      <c r="C31" s="129" t="s">
        <v>2</v>
      </c>
      <c r="D31" s="291">
        <f>40*2</f>
        <v>80</v>
      </c>
      <c r="E31" s="130" t="s">
        <v>171</v>
      </c>
      <c r="F31" s="126" t="s">
        <v>217</v>
      </c>
      <c r="G31" s="125">
        <f t="shared" si="2"/>
        <v>162544.94080000001</v>
      </c>
      <c r="H31" s="131"/>
    </row>
    <row r="32" spans="1:12" x14ac:dyDescent="0.25">
      <c r="A32" s="330" t="s">
        <v>17</v>
      </c>
      <c r="B32" s="331"/>
      <c r="C32" s="331"/>
      <c r="D32" s="331"/>
      <c r="E32" s="331"/>
      <c r="F32" s="331"/>
      <c r="G32" s="122">
        <f>SUM(G26:G31)</f>
        <v>1793158.6868360001</v>
      </c>
      <c r="H32" s="121"/>
    </row>
    <row r="33" spans="1:12" x14ac:dyDescent="0.25">
      <c r="A33" s="341"/>
      <c r="B33" s="342"/>
      <c r="C33" s="342"/>
      <c r="D33" s="342"/>
      <c r="E33" s="342"/>
      <c r="F33" s="342"/>
      <c r="G33" s="167"/>
      <c r="H33" s="118"/>
      <c r="L33" s="115"/>
    </row>
    <row r="34" spans="1:12" ht="15.75" customHeight="1" x14ac:dyDescent="0.25">
      <c r="A34" s="144" t="s">
        <v>218</v>
      </c>
      <c r="B34" s="143"/>
      <c r="C34" s="142"/>
      <c r="D34" s="141"/>
      <c r="E34" s="140"/>
      <c r="F34" s="140"/>
      <c r="G34" s="140"/>
      <c r="H34" s="139"/>
    </row>
    <row r="35" spans="1:12" ht="15.75" customHeight="1" x14ac:dyDescent="0.25">
      <c r="A35" s="138"/>
      <c r="B35" s="137"/>
      <c r="C35" s="136"/>
      <c r="D35" s="135"/>
      <c r="E35" s="135"/>
      <c r="F35" s="135"/>
      <c r="H35" s="131"/>
    </row>
    <row r="36" spans="1:12" ht="15.75" customHeight="1" x14ac:dyDescent="0.25">
      <c r="A36" s="134" t="s">
        <v>14</v>
      </c>
      <c r="B36" s="332" t="s">
        <v>18</v>
      </c>
      <c r="C36" s="333"/>
      <c r="D36" s="334" t="s">
        <v>5</v>
      </c>
      <c r="E36" s="335"/>
      <c r="F36" s="133" t="s">
        <v>183</v>
      </c>
      <c r="G36" s="132" t="s">
        <v>16</v>
      </c>
      <c r="H36" s="131"/>
    </row>
    <row r="37" spans="1:12" ht="15.75" customHeight="1" x14ac:dyDescent="0.25">
      <c r="A37" s="172" t="s">
        <v>598</v>
      </c>
      <c r="B37" s="175">
        <f>9+6+4*2</f>
        <v>23</v>
      </c>
      <c r="C37" s="129" t="s">
        <v>4</v>
      </c>
      <c r="D37" s="124">
        <v>45</v>
      </c>
      <c r="E37" s="130" t="s">
        <v>356</v>
      </c>
      <c r="F37" s="126" t="s">
        <v>217</v>
      </c>
      <c r="G37" s="125">
        <f>B37*D37*1.1</f>
        <v>1138.5</v>
      </c>
      <c r="H37" s="131">
        <f>B37*0.16</f>
        <v>3.68</v>
      </c>
      <c r="I37" s="1">
        <f t="shared" ref="I37:I38" si="3">H37*1.5</f>
        <v>5.5200000000000005</v>
      </c>
    </row>
    <row r="38" spans="1:12" ht="15.75" customHeight="1" x14ac:dyDescent="0.25">
      <c r="A38" s="172" t="s">
        <v>599</v>
      </c>
      <c r="B38" s="292">
        <f>DADOS_INICIAIS!F37*3+(2.6+2.11+5.4+1.65+1.55+7.75+75.62+2.05+4.82+2*0.7+9.8+1.05+(9.91+1.18+2.1)*3+4.8*2+21.36)+(((5.4+1.64)*2+(2*1.15+2.9)*2+(2*2.5+13.15))*14+((2*2.5+13.15)+(5.4+1.64)*2)+((3.92+11.12+0.9)*2+17.57+2*1.97)+(16.44*2+9.15*2+2.6*4)+(3.15+9.8+1.04+0.8+5.56)*2*3)*2</f>
        <v>2588.8599999999997</v>
      </c>
      <c r="C38" s="129" t="s">
        <v>4</v>
      </c>
      <c r="D38" s="124">
        <v>38</v>
      </c>
      <c r="E38" s="130" t="s">
        <v>356</v>
      </c>
      <c r="F38" s="126" t="s">
        <v>217</v>
      </c>
      <c r="G38" s="125">
        <f>B38*D38*1.1</f>
        <v>108214.348</v>
      </c>
      <c r="H38" s="131">
        <f>B38*0.5</f>
        <v>1294.4299999999998</v>
      </c>
      <c r="I38" s="1">
        <f t="shared" si="3"/>
        <v>1941.6449999999998</v>
      </c>
    </row>
    <row r="39" spans="1:12" ht="15.75" customHeight="1" x14ac:dyDescent="0.25">
      <c r="A39" s="172" t="s">
        <v>600</v>
      </c>
      <c r="B39" s="175">
        <v>2</v>
      </c>
      <c r="C39" s="129" t="s">
        <v>3</v>
      </c>
      <c r="D39" s="124">
        <f>1080*2</f>
        <v>2160</v>
      </c>
      <c r="E39" s="130" t="s">
        <v>356</v>
      </c>
      <c r="F39" s="126" t="s">
        <v>217</v>
      </c>
      <c r="G39" s="125">
        <f t="shared" ref="G39:G43" si="4">B39*D39*1.1</f>
        <v>4752</v>
      </c>
      <c r="H39" s="131"/>
    </row>
    <row r="40" spans="1:12" ht="15.75" customHeight="1" x14ac:dyDescent="0.25">
      <c r="A40" s="172" t="s">
        <v>601</v>
      </c>
      <c r="B40" s="175">
        <v>9</v>
      </c>
      <c r="C40" s="129" t="s">
        <v>3</v>
      </c>
      <c r="D40" s="124">
        <v>85</v>
      </c>
      <c r="E40" s="130" t="s">
        <v>356</v>
      </c>
      <c r="F40" s="126" t="s">
        <v>217</v>
      </c>
      <c r="G40" s="125">
        <f t="shared" si="4"/>
        <v>841.50000000000011</v>
      </c>
      <c r="H40" s="131">
        <f>B40*0.42*0.42</f>
        <v>1.5875999999999999</v>
      </c>
      <c r="I40" s="1">
        <f>H40*4</f>
        <v>6.3503999999999996</v>
      </c>
    </row>
    <row r="41" spans="1:12" ht="15.75" customHeight="1" x14ac:dyDescent="0.25">
      <c r="A41" s="172" t="s">
        <v>603</v>
      </c>
      <c r="B41" s="175">
        <f>5.6*B42</f>
        <v>33.599999999999994</v>
      </c>
      <c r="C41" s="129" t="s">
        <v>4</v>
      </c>
      <c r="D41" s="124">
        <v>52</v>
      </c>
      <c r="E41" s="130" t="s">
        <v>356</v>
      </c>
      <c r="F41" s="126"/>
      <c r="G41" s="125">
        <f>B41*D41*1.1</f>
        <v>1921.9199999999998</v>
      </c>
      <c r="H41" s="131">
        <f>B41*0.6*2</f>
        <v>40.319999999999993</v>
      </c>
      <c r="I41" s="1">
        <f t="shared" ref="I41" si="5">H41*1.5</f>
        <v>60.47999999999999</v>
      </c>
    </row>
    <row r="42" spans="1:12" ht="15.75" customHeight="1" x14ac:dyDescent="0.25">
      <c r="A42" s="172" t="s">
        <v>604</v>
      </c>
      <c r="B42" s="175">
        <f>3*2</f>
        <v>6</v>
      </c>
      <c r="C42" s="129" t="s">
        <v>3</v>
      </c>
      <c r="D42" s="124">
        <v>90</v>
      </c>
      <c r="E42" s="130" t="s">
        <v>356</v>
      </c>
      <c r="F42" s="126"/>
      <c r="G42" s="125">
        <f t="shared" si="4"/>
        <v>594</v>
      </c>
      <c r="H42" s="131"/>
    </row>
    <row r="43" spans="1:12" ht="15.75" customHeight="1" x14ac:dyDescent="0.25">
      <c r="A43" s="172" t="s">
        <v>602</v>
      </c>
      <c r="B43" s="175">
        <v>1</v>
      </c>
      <c r="C43" s="129" t="s">
        <v>27</v>
      </c>
      <c r="D43" s="124">
        <f>0.4*(SUM(G37:G42))</f>
        <v>46984.907200000001</v>
      </c>
      <c r="E43" s="130" t="s">
        <v>356</v>
      </c>
      <c r="F43" s="126" t="s">
        <v>217</v>
      </c>
      <c r="G43" s="125">
        <f t="shared" si="4"/>
        <v>51683.397920000003</v>
      </c>
      <c r="H43" s="131"/>
    </row>
    <row r="44" spans="1:12" ht="15.75" customHeight="1" x14ac:dyDescent="0.25">
      <c r="A44" s="172" t="s">
        <v>605</v>
      </c>
      <c r="B44" s="175">
        <v>2</v>
      </c>
      <c r="C44" s="129" t="s">
        <v>3</v>
      </c>
      <c r="D44" s="124">
        <f>B45*210</f>
        <v>5212.2</v>
      </c>
      <c r="E44" s="130" t="s">
        <v>356</v>
      </c>
      <c r="F44" s="126" t="s">
        <v>217</v>
      </c>
      <c r="G44" s="125">
        <f>D44*1.1</f>
        <v>5733.42</v>
      </c>
      <c r="H44" s="131" t="s">
        <v>606</v>
      </c>
    </row>
    <row r="45" spans="1:12" ht="15.75" customHeight="1" x14ac:dyDescent="0.25">
      <c r="A45" s="172" t="s">
        <v>607</v>
      </c>
      <c r="B45" s="175">
        <f>B44*7.3*1.7</f>
        <v>24.82</v>
      </c>
      <c r="C45" s="129" t="s">
        <v>2</v>
      </c>
      <c r="D45" s="124">
        <v>65</v>
      </c>
      <c r="E45" s="130" t="s">
        <v>356</v>
      </c>
      <c r="F45" s="126" t="s">
        <v>217</v>
      </c>
      <c r="G45" s="125">
        <f>B45*D45*1.1</f>
        <v>1774.63</v>
      </c>
      <c r="H45" s="131" t="s">
        <v>606</v>
      </c>
    </row>
    <row r="46" spans="1:12" ht="15.75" customHeight="1" x14ac:dyDescent="0.25">
      <c r="A46" s="330"/>
      <c r="B46" s="331"/>
      <c r="C46" s="331"/>
      <c r="D46" s="331"/>
      <c r="E46" s="331"/>
      <c r="F46" s="331"/>
      <c r="G46" s="122">
        <f>SUM(G37:G45)</f>
        <v>176653.71592000002</v>
      </c>
      <c r="H46" s="121"/>
    </row>
    <row r="47" spans="1:12" x14ac:dyDescent="0.25">
      <c r="A47" s="328"/>
      <c r="B47" s="329"/>
      <c r="C47" s="329"/>
      <c r="D47" s="329"/>
      <c r="E47" s="329"/>
      <c r="F47" s="329"/>
      <c r="G47" s="167"/>
      <c r="H47" s="118"/>
      <c r="J47" s="1">
        <f>25.78*2</f>
        <v>51.56</v>
      </c>
    </row>
    <row r="48" spans="1:12" ht="15.75" customHeight="1" x14ac:dyDescent="0.25">
      <c r="G48" s="115"/>
    </row>
    <row r="49" spans="1:8" ht="15.75" customHeight="1" x14ac:dyDescent="0.25">
      <c r="A49" s="327" t="s">
        <v>216</v>
      </c>
      <c r="B49" s="327"/>
      <c r="C49" s="327"/>
      <c r="D49" s="327"/>
      <c r="E49" s="327"/>
      <c r="F49" s="327"/>
      <c r="G49" s="117">
        <f>G32+G21+G46</f>
        <v>3653145.0130340001</v>
      </c>
      <c r="H49" s="116">
        <f>G49/DADOS_INICIAIS!F9</f>
        <v>169.83251789535046</v>
      </c>
    </row>
    <row r="50" spans="1:8" ht="15.75" customHeight="1" x14ac:dyDescent="0.25">
      <c r="H50" s="115">
        <f>H49/1.1</f>
        <v>154.39319808668222</v>
      </c>
    </row>
    <row r="51" spans="1:8" ht="15.75" customHeight="1" x14ac:dyDescent="0.25"/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</sheetData>
  <mergeCells count="14">
    <mergeCell ref="B25:C25"/>
    <mergeCell ref="D25:E25"/>
    <mergeCell ref="A49:F49"/>
    <mergeCell ref="A32:F32"/>
    <mergeCell ref="A33:F33"/>
    <mergeCell ref="A47:F47"/>
    <mergeCell ref="B36:C36"/>
    <mergeCell ref="D36:E36"/>
    <mergeCell ref="A46:F46"/>
    <mergeCell ref="B14:C14"/>
    <mergeCell ref="D14:E14"/>
    <mergeCell ref="A2:A4"/>
    <mergeCell ref="A21:F21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22"/>
  <sheetViews>
    <sheetView showGridLines="0" zoomScale="85" zoomScaleNormal="85" zoomScaleSheetLayoutView="95" workbookViewId="0">
      <selection activeCell="F17" sqref="F17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02" t="s">
        <v>286</v>
      </c>
      <c r="B2" s="303"/>
      <c r="C2" s="303"/>
      <c r="D2" s="303"/>
      <c r="E2" s="303"/>
      <c r="F2" s="303"/>
      <c r="G2" s="304"/>
      <c r="I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298</v>
      </c>
      <c r="B4" s="196" t="s">
        <v>217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285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06" t="s">
        <v>5</v>
      </c>
      <c r="C8" s="307"/>
      <c r="D8" s="306" t="s">
        <v>18</v>
      </c>
      <c r="E8" s="307"/>
      <c r="F8" s="71" t="s">
        <v>16</v>
      </c>
      <c r="G8" s="59"/>
    </row>
    <row r="9" spans="1:10" s="55" customFormat="1" ht="21.75" x14ac:dyDescent="0.25">
      <c r="A9" s="66" t="s">
        <v>594</v>
      </c>
      <c r="B9" s="62">
        <v>180</v>
      </c>
      <c r="C9" s="62" t="s">
        <v>402</v>
      </c>
      <c r="D9" s="67">
        <f>143.17*2.1</f>
        <v>300.65699999999998</v>
      </c>
      <c r="E9" s="67" t="s">
        <v>2</v>
      </c>
      <c r="F9" s="89">
        <f>D9*B9*1.1</f>
        <v>59530.085999999996</v>
      </c>
      <c r="G9" s="57"/>
    </row>
    <row r="10" spans="1:10" s="55" customFormat="1" ht="21.75" x14ac:dyDescent="0.25">
      <c r="A10" s="66" t="s">
        <v>284</v>
      </c>
      <c r="B10" s="62">
        <v>1800</v>
      </c>
      <c r="C10" s="62" t="s">
        <v>283</v>
      </c>
      <c r="D10" s="67">
        <f>DADOS_INICIAIS!F32</f>
        <v>2513.4</v>
      </c>
      <c r="E10" s="67" t="s">
        <v>2</v>
      </c>
      <c r="F10" s="89">
        <f>D10*B10*1.1</f>
        <v>4976532</v>
      </c>
      <c r="G10" s="57"/>
    </row>
    <row r="11" spans="1:10" s="55" customFormat="1" ht="21.75" x14ac:dyDescent="0.25">
      <c r="A11" s="66" t="s">
        <v>282</v>
      </c>
      <c r="B11" s="62">
        <v>10</v>
      </c>
      <c r="C11" s="62" t="s">
        <v>6</v>
      </c>
      <c r="D11" s="67">
        <f>B11*DADOS_INICIAIS!$F$9</f>
        <v>215102.80000000005</v>
      </c>
      <c r="E11" s="67" t="s">
        <v>356</v>
      </c>
      <c r="F11" s="89">
        <f>D11*1.1</f>
        <v>236613.08000000007</v>
      </c>
      <c r="G11" s="57"/>
    </row>
    <row r="12" spans="1:10" s="55" customFormat="1" ht="21.75" x14ac:dyDescent="0.25">
      <c r="A12" s="66" t="s">
        <v>281</v>
      </c>
      <c r="B12" s="62">
        <v>12</v>
      </c>
      <c r="C12" s="62" t="s">
        <v>6</v>
      </c>
      <c r="D12" s="67">
        <f>B12*DADOS_INICIAIS!$F$9</f>
        <v>258123.36000000007</v>
      </c>
      <c r="E12" s="67" t="s">
        <v>356</v>
      </c>
      <c r="F12" s="89">
        <f t="shared" ref="F12:F19" si="0">D12*1.1</f>
        <v>283935.69600000011</v>
      </c>
      <c r="G12" s="57"/>
    </row>
    <row r="13" spans="1:10" s="55" customFormat="1" ht="21.75" x14ac:dyDescent="0.25">
      <c r="A13" s="66" t="s">
        <v>405</v>
      </c>
      <c r="B13" s="62">
        <v>15</v>
      </c>
      <c r="C13" s="62" t="s">
        <v>6</v>
      </c>
      <c r="D13" s="67">
        <f>B13*DADOS_INICIAIS!$F$9</f>
        <v>322654.20000000007</v>
      </c>
      <c r="E13" s="67" t="s">
        <v>356</v>
      </c>
      <c r="F13" s="89">
        <f t="shared" ref="F13" si="1">D13*1.1</f>
        <v>354919.62000000011</v>
      </c>
      <c r="G13" s="57"/>
    </row>
    <row r="14" spans="1:10" s="55" customFormat="1" ht="21.75" x14ac:dyDescent="0.25">
      <c r="A14" s="66" t="s">
        <v>401</v>
      </c>
      <c r="B14" s="62">
        <f>(172734.56/111.47)*0.6</f>
        <v>929.76348793397324</v>
      </c>
      <c r="C14" s="62" t="s">
        <v>402</v>
      </c>
      <c r="D14" s="67">
        <v>310.97000000000003</v>
      </c>
      <c r="E14" s="67" t="s">
        <v>388</v>
      </c>
      <c r="F14" s="89">
        <f>D14*B14*1.1</f>
        <v>318041.40702711052</v>
      </c>
      <c r="G14" s="57"/>
    </row>
    <row r="15" spans="1:10" s="55" customFormat="1" ht="21.75" x14ac:dyDescent="0.25">
      <c r="A15" s="66" t="s">
        <v>647</v>
      </c>
      <c r="B15" s="62">
        <f>(172734.56/111.47)*0.8*0.6</f>
        <v>743.81079034717868</v>
      </c>
      <c r="C15" s="62" t="s">
        <v>402</v>
      </c>
      <c r="D15" s="67">
        <v>79.52</v>
      </c>
      <c r="E15" s="67" t="s">
        <v>388</v>
      </c>
      <c r="F15" s="89">
        <f>D15*B15*1.1</f>
        <v>65062.617453248415</v>
      </c>
      <c r="G15" s="57"/>
    </row>
    <row r="16" spans="1:10" s="55" customFormat="1" ht="21.75" x14ac:dyDescent="0.25">
      <c r="A16" s="66" t="s">
        <v>646</v>
      </c>
      <c r="B16" s="62">
        <v>550</v>
      </c>
      <c r="C16" s="62" t="s">
        <v>171</v>
      </c>
      <c r="D16" s="67">
        <f>9.4*4.8</f>
        <v>45.12</v>
      </c>
      <c r="E16" s="67" t="s">
        <v>388</v>
      </c>
      <c r="F16" s="89">
        <f>D16*B16*1.1</f>
        <v>27297.600000000002</v>
      </c>
      <c r="G16" s="57"/>
    </row>
    <row r="17" spans="1:7" s="55" customFormat="1" ht="21.75" x14ac:dyDescent="0.25">
      <c r="A17" s="66" t="s">
        <v>280</v>
      </c>
      <c r="B17" s="62">
        <v>4</v>
      </c>
      <c r="C17" s="62" t="s">
        <v>6</v>
      </c>
      <c r="D17" s="67">
        <f>B17*DADOS_INICIAIS!$F$9</f>
        <v>86041.120000000024</v>
      </c>
      <c r="E17" s="67" t="s">
        <v>356</v>
      </c>
      <c r="F17" s="89">
        <f t="shared" si="0"/>
        <v>94645.232000000033</v>
      </c>
      <c r="G17" s="57"/>
    </row>
    <row r="18" spans="1:7" s="55" customFormat="1" ht="21.75" x14ac:dyDescent="0.25">
      <c r="A18" s="66" t="s">
        <v>279</v>
      </c>
      <c r="B18" s="62">
        <v>3.5</v>
      </c>
      <c r="C18" s="62" t="s">
        <v>6</v>
      </c>
      <c r="D18" s="67">
        <f>B18*DADOS_INICIAIS!$F$9</f>
        <v>75285.980000000025</v>
      </c>
      <c r="E18" s="67" t="s">
        <v>356</v>
      </c>
      <c r="F18" s="89">
        <f t="shared" si="0"/>
        <v>82814.578000000038</v>
      </c>
      <c r="G18" s="57"/>
    </row>
    <row r="19" spans="1:7" s="55" customFormat="1" ht="21.75" x14ac:dyDescent="0.25">
      <c r="A19" s="66" t="s">
        <v>278</v>
      </c>
      <c r="B19" s="62">
        <v>20</v>
      </c>
      <c r="C19" s="62" t="s">
        <v>6</v>
      </c>
      <c r="D19" s="67">
        <f>B19*DADOS_INICIAIS!$F$9</f>
        <v>430205.60000000009</v>
      </c>
      <c r="E19" s="67" t="s">
        <v>356</v>
      </c>
      <c r="F19" s="89">
        <f t="shared" si="0"/>
        <v>473226.16000000015</v>
      </c>
      <c r="G19" s="57"/>
    </row>
    <row r="20" spans="1:7" s="55" customFormat="1" ht="21.75" x14ac:dyDescent="0.25">
      <c r="A20" s="301" t="s">
        <v>17</v>
      </c>
      <c r="B20" s="301"/>
      <c r="C20" s="301"/>
      <c r="D20" s="110"/>
      <c r="E20" s="110"/>
      <c r="F20" s="90">
        <f>SUM(F9:F19)</f>
        <v>6972618.0764803588</v>
      </c>
      <c r="G20" s="60"/>
    </row>
    <row r="21" spans="1:7" s="55" customFormat="1" ht="21.75" x14ac:dyDescent="0.25">
      <c r="A21" s="305"/>
      <c r="B21" s="305"/>
      <c r="C21" s="305"/>
      <c r="D21" s="111"/>
      <c r="E21" s="111"/>
      <c r="F21" s="59"/>
      <c r="G21" s="59"/>
    </row>
    <row r="22" spans="1:7" ht="23.25" customHeight="1" x14ac:dyDescent="0.25">
      <c r="A22" s="298" t="s">
        <v>277</v>
      </c>
      <c r="B22" s="299"/>
      <c r="C22" s="300"/>
      <c r="D22" s="109"/>
      <c r="E22" s="109"/>
      <c r="F22" s="108">
        <f>F20</f>
        <v>6972618.0764803588</v>
      </c>
      <c r="G22" s="108">
        <f>F22/DADOS_INICIAIS!F9</f>
        <v>324.15282722867192</v>
      </c>
    </row>
  </sheetData>
  <mergeCells count="6">
    <mergeCell ref="A22:C22"/>
    <mergeCell ref="B8:C8"/>
    <mergeCell ref="D8:E8"/>
    <mergeCell ref="A2:G2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29</vt:i4>
      </vt:variant>
    </vt:vector>
  </HeadingPairs>
  <TitlesOfParts>
    <vt:vector size="48" baseType="lpstr">
      <vt:lpstr>DADOS_INICIAIS</vt:lpstr>
      <vt:lpstr>MOVIMENTAÇÃO_DE_TERRA</vt:lpstr>
      <vt:lpstr>CONTENÇÕES</vt:lpstr>
      <vt:lpstr>INFRAESTRUTURA </vt:lpstr>
      <vt:lpstr>SUPRAESTRUTURA</vt:lpstr>
      <vt:lpstr>ALVENARIA</vt:lpstr>
      <vt:lpstr>INSTALAÇÕES</vt:lpstr>
      <vt:lpstr>SISTEMAS ESPECIAIS</vt:lpstr>
      <vt:lpstr>IMPERMEABILIZAÇÃO</vt:lpstr>
      <vt:lpstr>AMBIENTES</vt:lpstr>
      <vt:lpstr>Rev. Internos Piso e Parede</vt:lpstr>
      <vt:lpstr>TETO</vt:lpstr>
      <vt:lpstr>Acabamentos de Piso e Parede</vt:lpstr>
      <vt:lpstr>ESQUADRIAS</vt:lpstr>
      <vt:lpstr>PINTURA INTERNA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'INFRAESTRUTURA '!Area_de_impressao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'INFRAESTRUTURA '!Titulos_de_impressao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2025-06-16T13:52:20Z</dcterms:modified>
</cp:coreProperties>
</file>