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D'Lohn Empreendimentos\04. Custo\03.0 Custo - Orçamento Paramétrico\R02\"/>
    </mc:Choice>
  </mc:AlternateContent>
  <xr:revisionPtr revIDLastSave="0" documentId="13_ncr:1_{AE23CD0A-32B1-44C4-9470-157301BE877F}" xr6:coauthVersionLast="47" xr6:coauthVersionMax="47" xr10:uidLastSave="{00000000-0000-0000-0000-000000000000}"/>
  <bookViews>
    <workbookView xWindow="28680" yWindow="-120" windowWidth="29040" windowHeight="15720" tabRatio="849" firstSheet="10" activeTab="19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CONTENÇÃO" sheetId="68" r:id="rId5"/>
    <sheet name="SUPRAESTRUTURA" sheetId="48" r:id="rId6"/>
    <sheet name="ALVENARIA" sheetId="61" r:id="rId7"/>
    <sheet name="Orçamento" sheetId="71" r:id="rId8"/>
    <sheet name="INSTALAÇÕES" sheetId="58" r:id="rId9"/>
    <sheet name="SISTEMAS ESPECIAIS" sheetId="59" r:id="rId10"/>
    <sheet name="IMPERMEABILIZAÇÃO" sheetId="62" r:id="rId11"/>
    <sheet name="PISO E TETO" sheetId="67" r:id="rId12"/>
    <sheet name="Rev. Internos Piso e Parede" sheetId="51" r:id="rId13"/>
    <sheet name="TETO" sheetId="63" r:id="rId14"/>
    <sheet name="Acabamentos de Piso e Parede" sheetId="53" r:id="rId15"/>
    <sheet name="PINTURA INTERNA" sheetId="64" r:id="rId16"/>
    <sheet name="COBERTURA" sheetId="66" r:id="rId17"/>
    <sheet name="ESQUADRIAS" sheetId="65" r:id="rId18"/>
    <sheet name="ESQUADRIAS (2)" sheetId="72" r:id="rId19"/>
    <sheet name="Rev. Fachada" sheetId="55" r:id="rId20"/>
    <sheet name="Rev. Fachada (2)" sheetId="70" r:id="rId21"/>
    <sheet name="COMPLEMENTARES" sheetId="60" r:id="rId22"/>
    <sheet name="Auxiliar" sheetId="36" state="hidden" r:id="rId23"/>
  </sheets>
  <externalReferences>
    <externalReference r:id="rId24"/>
    <externalReference r:id="rId25"/>
    <externalReference r:id="rId26"/>
    <externalReference r:id="rId27"/>
  </externalReferences>
  <definedNames>
    <definedName name="\0" localSheetId="16">#REF!</definedName>
    <definedName name="\0" localSheetId="21">#REF!</definedName>
    <definedName name="\0" localSheetId="0">#REF!</definedName>
    <definedName name="\0" localSheetId="8">#REF!</definedName>
    <definedName name="\0" localSheetId="1">#REF!</definedName>
    <definedName name="\0" localSheetId="9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22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6">'[1]M.O.'!#REF!</definedName>
    <definedName name="aaaa" localSheetId="21">'[1]M.O.'!#REF!</definedName>
    <definedName name="aaaa" localSheetId="0">'[1]M.O.'!#REF!</definedName>
    <definedName name="aaaa" localSheetId="8">'[1]M.O.'!#REF!</definedName>
    <definedName name="aaaa" localSheetId="1">'[1]M.O.'!#REF!</definedName>
    <definedName name="aaaa" localSheetId="9">'[1]M.O.'!#REF!</definedName>
    <definedName name="aaaa">'[1]M.O.'!#REF!</definedName>
    <definedName name="angelo" localSheetId="16">[2]Geral!#REF!</definedName>
    <definedName name="angelo" localSheetId="21">[2]Geral!#REF!</definedName>
    <definedName name="angelo" localSheetId="0">[2]Geral!#REF!</definedName>
    <definedName name="angelo" localSheetId="8">[2]Geral!#REF!</definedName>
    <definedName name="angelo" localSheetId="1">[2]Geral!#REF!</definedName>
    <definedName name="angelo" localSheetId="9">[2]Geral!#REF!</definedName>
    <definedName name="angelo">[2]Geral!#REF!</definedName>
    <definedName name="area">#REF!</definedName>
    <definedName name="_xlnm.Print_Area" localSheetId="14">'Acabamentos de Piso e Parede'!$A$1:$H$27</definedName>
    <definedName name="_xlnm.Print_Area" localSheetId="6">ALVENARIA!$A$1:$I$16</definedName>
    <definedName name="_xlnm.Print_Area" localSheetId="16">COBERTURA!$A$1:$H$14</definedName>
    <definedName name="_xlnm.Print_Area" localSheetId="21">COMPLEMENTARES!$A$1:$G$16</definedName>
    <definedName name="_xlnm.Print_Area" localSheetId="4">CONTENÇÃO!$A$1:$I$41</definedName>
    <definedName name="_xlnm.Print_Area" localSheetId="2">CONTENÇÕES!$A$1:$I$45</definedName>
    <definedName name="_xlnm.Print_Area" localSheetId="0">DADOS_INICIAIS!$A$1:$G$28</definedName>
    <definedName name="_xlnm.Print_Area" localSheetId="17">ESQUADRIAS!$A$1:$I$23</definedName>
    <definedName name="_xlnm.Print_Area" localSheetId="18">'ESQUADRIAS (2)'!$A$1:$I$23</definedName>
    <definedName name="_xlnm.Print_Area" localSheetId="10">IMPERMEABILIZAÇÃO!$A$1:$I$26</definedName>
    <definedName name="_xlnm.Print_Area" localSheetId="3">INFRAESTRUTURA!$A$1:$I$35</definedName>
    <definedName name="_xlnm.Print_Area" localSheetId="8">INSTALAÇÕES!$A$1:$E$33</definedName>
    <definedName name="_xlnm.Print_Area" localSheetId="1">MOVIMENTAÇÃO_DE_TERRA!$A$1:$G$26</definedName>
    <definedName name="_xlnm.Print_Area" localSheetId="15">'PINTURA INTERNA'!$A$1:$I$17</definedName>
    <definedName name="_xlnm.Print_Area" localSheetId="19">'Rev. Fachada'!$A$1:$H$24</definedName>
    <definedName name="_xlnm.Print_Area" localSheetId="20">'Rev. Fachada (2)'!$A$1:$H$24</definedName>
    <definedName name="_xlnm.Print_Area" localSheetId="12">'Rev. Internos Piso e Parede'!$A$1:$H$26</definedName>
    <definedName name="_xlnm.Print_Area" localSheetId="9">'SISTEMAS ESPECIAIS'!$A$1:$E$32</definedName>
    <definedName name="_xlnm.Print_Area" localSheetId="5">SUPRAESTRUTURA!$A$1:$I$18</definedName>
    <definedName name="_xlnm.Print_Area" localSheetId="13">TETO!$A$1:$I$39</definedName>
    <definedName name="_xlnm.Print_Area">#REF!</definedName>
    <definedName name="aux" localSheetId="16">#REF!</definedName>
    <definedName name="aux" localSheetId="21">#REF!</definedName>
    <definedName name="aux" localSheetId="0">#REF!</definedName>
    <definedName name="aux" localSheetId="8">#REF!</definedName>
    <definedName name="aux" localSheetId="1">#REF!</definedName>
    <definedName name="aux" localSheetId="9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21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6">#REF!</definedName>
    <definedName name="FFFFFFF" localSheetId="21">#REF!</definedName>
    <definedName name="FFFFFFF" localSheetId="0">#REF!</definedName>
    <definedName name="FFFFFFF" localSheetId="8">#REF!</definedName>
    <definedName name="FFFFFFF" localSheetId="1">#REF!</definedName>
    <definedName name="FFFFFFF" localSheetId="9">#REF!</definedName>
    <definedName name="FFFFFFF">#REF!</definedName>
    <definedName name="item_1" localSheetId="16">#REF!</definedName>
    <definedName name="item_1" localSheetId="21">#REF!</definedName>
    <definedName name="item_1" localSheetId="0">#REF!</definedName>
    <definedName name="item_1" localSheetId="8">#REF!</definedName>
    <definedName name="item_1" localSheetId="1">#REF!</definedName>
    <definedName name="item_1" localSheetId="9">#REF!</definedName>
    <definedName name="item_1">#REF!</definedName>
    <definedName name="LS" localSheetId="16">'[1]M.O.'!#REF!</definedName>
    <definedName name="LS" localSheetId="21">'[1]M.O.'!#REF!</definedName>
    <definedName name="LS" localSheetId="0">'[1]M.O.'!#REF!</definedName>
    <definedName name="LS" localSheetId="8">'[1]M.O.'!#REF!</definedName>
    <definedName name="LS" localSheetId="1">'[1]M.O.'!#REF!</definedName>
    <definedName name="LS" localSheetId="9">'[1]M.O.'!#REF!</definedName>
    <definedName name="LS">'[1]M.O.'!#REF!</definedName>
    <definedName name="MENU" localSheetId="16">#REF!</definedName>
    <definedName name="MENU" localSheetId="21">#REF!</definedName>
    <definedName name="MENU" localSheetId="0">#REF!</definedName>
    <definedName name="MENU" localSheetId="8">#REF!</definedName>
    <definedName name="MENU" localSheetId="1">#REF!</definedName>
    <definedName name="MENU" localSheetId="9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6">#REF!</definedName>
    <definedName name="PAV" localSheetId="21">#REF!</definedName>
    <definedName name="PAV" localSheetId="0">#REF!</definedName>
    <definedName name="PAV" localSheetId="8">#REF!</definedName>
    <definedName name="PAV" localSheetId="1">#REF!</definedName>
    <definedName name="PAV" localSheetId="9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4">'Acabamentos de Piso e Parede'!$7:$11</definedName>
    <definedName name="_xlnm.Print_Titles" localSheetId="6">ALVENARIA!$2:$2</definedName>
    <definedName name="_xlnm.Print_Titles" localSheetId="16">COBERTURA!#REF!</definedName>
    <definedName name="_xlnm.Print_Titles" localSheetId="21">COMPLEMENTARES!#REF!</definedName>
    <definedName name="_xlnm.Print_Titles" localSheetId="4">CONTENÇÃO!$2:$2</definedName>
    <definedName name="_xlnm.Print_Titles" localSheetId="2">CONTENÇÕES!$2:$2</definedName>
    <definedName name="_xlnm.Print_Titles" localSheetId="0">DADOS_INICIAIS!$1:$6</definedName>
    <definedName name="_xlnm.Print_Titles" localSheetId="17">ESQUADRIAS!$2:$2</definedName>
    <definedName name="_xlnm.Print_Titles" localSheetId="18">'ESQUADRIAS (2)'!$2:$2</definedName>
    <definedName name="_xlnm.Print_Titles" localSheetId="10">IMPERMEABILIZAÇÃO!$2:$2</definedName>
    <definedName name="_xlnm.Print_Titles" localSheetId="3">INFRAESTRUTURA!$2:$2</definedName>
    <definedName name="_xlnm.Print_Titles" localSheetId="8">INSTALAÇÕES!#REF!</definedName>
    <definedName name="_xlnm.Print_Titles" localSheetId="1">MOVIMENTAÇÃO_DE_TERRA!#REF!</definedName>
    <definedName name="_xlnm.Print_Titles" localSheetId="15">'PINTURA INTERNA'!$2:$2</definedName>
    <definedName name="_xlnm.Print_Titles" localSheetId="19">'Rev. Fachada'!$7:$11</definedName>
    <definedName name="_xlnm.Print_Titles" localSheetId="20">'Rev. Fachada (2)'!$7:$11</definedName>
    <definedName name="_xlnm.Print_Titles" localSheetId="12">'Rev. Internos Piso e Parede'!$7:$11</definedName>
    <definedName name="_xlnm.Print_Titles" localSheetId="9">'SISTEMAS ESPECIAIS'!#REF!</definedName>
    <definedName name="_xlnm.Print_Titles" localSheetId="5">SUPRAESTRUTURA!$2:$2</definedName>
    <definedName name="_xlnm.Print_Titles" localSheetId="13">TETO!$2:$2</definedName>
    <definedName name="_xlnm.Print_Titles">#REF!</definedName>
    <definedName name="TOT" localSheetId="16">#REF!</definedName>
    <definedName name="TOT" localSheetId="21">#REF!</definedName>
    <definedName name="TOT" localSheetId="0">#REF!</definedName>
    <definedName name="TOT" localSheetId="8">#REF!</definedName>
    <definedName name="TOT" localSheetId="1">#REF!</definedName>
    <definedName name="TOT" localSheetId="9">#REF!</definedName>
    <definedName name="TOT">#REF!</definedName>
    <definedName name="Total" localSheetId="0">#REF!</definedName>
    <definedName name="Total">#REF!</definedName>
    <definedName name="TRP">#REF!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21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21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6">#REF!</definedName>
    <definedName name="xxxx" localSheetId="21">#REF!</definedName>
    <definedName name="xxxx" localSheetId="0">#REF!</definedName>
    <definedName name="xxxx" localSheetId="8">#REF!</definedName>
    <definedName name="xxxx" localSheetId="1">#REF!</definedName>
    <definedName name="xxxx" localSheetId="9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63" l="1"/>
  <c r="B13" i="63" s="1"/>
  <c r="F12" i="63"/>
  <c r="G25" i="51"/>
  <c r="G18" i="51"/>
  <c r="D17" i="51"/>
  <c r="D16" i="51"/>
  <c r="G15" i="51"/>
  <c r="G21" i="51"/>
  <c r="G20" i="51"/>
  <c r="G42" i="51"/>
  <c r="G41" i="51"/>
  <c r="B21" i="51"/>
  <c r="B20" i="51"/>
  <c r="L42" i="51"/>
  <c r="K32" i="51"/>
  <c r="G25" i="62"/>
  <c r="G19" i="62"/>
  <c r="G20" i="62"/>
  <c r="G21" i="62"/>
  <c r="G22" i="62"/>
  <c r="G23" i="62"/>
  <c r="G24" i="62"/>
  <c r="F11" i="62"/>
  <c r="F14" i="62"/>
  <c r="D24" i="62"/>
  <c r="F15" i="62"/>
  <c r="F16" i="62"/>
  <c r="F18" i="62"/>
  <c r="F12" i="62"/>
  <c r="F10" i="62"/>
  <c r="D16" i="62"/>
  <c r="F15" i="64"/>
  <c r="F14" i="64"/>
  <c r="F13" i="64"/>
  <c r="F12" i="64"/>
  <c r="G13" i="63" l="1"/>
  <c r="H12" i="65" l="1"/>
  <c r="D23" i="58" l="1"/>
  <c r="G76" i="53" l="1"/>
  <c r="L79" i="53"/>
  <c r="L78" i="53"/>
  <c r="K77" i="53"/>
  <c r="K78" i="53"/>
  <c r="D10" i="59" l="1"/>
  <c r="D16" i="59" l="1"/>
  <c r="G11" i="61"/>
  <c r="D11" i="61"/>
  <c r="I11" i="61"/>
  <c r="G24" i="48"/>
  <c r="F24" i="48"/>
  <c r="B24" i="48" l="1"/>
  <c r="D24" i="48"/>
  <c r="D25" i="48"/>
  <c r="B65" i="48" l="1"/>
  <c r="J28" i="68"/>
  <c r="I28" i="68"/>
  <c r="I27" i="68"/>
  <c r="J27" i="68" s="1"/>
  <c r="J26" i="68"/>
  <c r="I26" i="68"/>
  <c r="J25" i="68"/>
  <c r="I25" i="68"/>
  <c r="F22" i="68"/>
  <c r="D22" i="68"/>
  <c r="J29" i="68" l="1"/>
  <c r="F25" i="68" s="1"/>
  <c r="F19" i="68"/>
  <c r="I13" i="55"/>
  <c r="H22" i="55"/>
  <c r="I10" i="72"/>
  <c r="I10" i="65"/>
  <c r="E29" i="65" l="1"/>
  <c r="D28" i="60" l="1"/>
  <c r="F28" i="60" s="1"/>
  <c r="D27" i="60"/>
  <c r="F27" i="60" s="1"/>
  <c r="D26" i="60"/>
  <c r="F26" i="60" s="1"/>
  <c r="D25" i="60"/>
  <c r="F25" i="60" s="1"/>
  <c r="D24" i="60"/>
  <c r="F24" i="60" s="1"/>
  <c r="F23" i="60"/>
  <c r="F30" i="64"/>
  <c r="G30" i="64" s="1"/>
  <c r="B30" i="64"/>
  <c r="F29" i="64"/>
  <c r="G29" i="64" s="1"/>
  <c r="B29" i="64"/>
  <c r="F28" i="64"/>
  <c r="G28" i="64" s="1"/>
  <c r="F27" i="64"/>
  <c r="G27" i="64" s="1"/>
  <c r="F26" i="64"/>
  <c r="G26" i="64" s="1"/>
  <c r="F25" i="64"/>
  <c r="G25" i="64" s="1"/>
  <c r="D35" i="51"/>
  <c r="G35" i="51" s="1"/>
  <c r="H35" i="51" s="1"/>
  <c r="G39" i="51"/>
  <c r="D39" i="51"/>
  <c r="G38" i="51"/>
  <c r="D37" i="51"/>
  <c r="G37" i="51" s="1"/>
  <c r="D36" i="51"/>
  <c r="G36" i="51" s="1"/>
  <c r="F29" i="60" l="1"/>
  <c r="G31" i="64"/>
  <c r="G43" i="51"/>
  <c r="D38" i="51"/>
  <c r="K49" i="62" l="1"/>
  <c r="L49" i="62" s="1"/>
  <c r="F48" i="62"/>
  <c r="G48" i="62" s="1"/>
  <c r="F47" i="62"/>
  <c r="G47" i="62" s="1"/>
  <c r="H47" i="62" s="1"/>
  <c r="F46" i="62"/>
  <c r="G46" i="62" s="1"/>
  <c r="F45" i="62"/>
  <c r="G45" i="62" s="1"/>
  <c r="B45" i="62"/>
  <c r="F44" i="62"/>
  <c r="G44" i="62" s="1"/>
  <c r="F43" i="62"/>
  <c r="G43" i="62" s="1"/>
  <c r="H43" i="62" s="1"/>
  <c r="F42" i="62"/>
  <c r="G42" i="62" s="1"/>
  <c r="F41" i="62"/>
  <c r="G41" i="62" s="1"/>
  <c r="F40" i="62"/>
  <c r="B25" i="53"/>
  <c r="B41" i="53"/>
  <c r="B57" i="53"/>
  <c r="D57" i="53"/>
  <c r="G57" i="53"/>
  <c r="D41" i="53"/>
  <c r="D25" i="53"/>
  <c r="G25" i="53" s="1"/>
  <c r="G40" i="62" l="1"/>
  <c r="G49" i="62" s="1"/>
  <c r="G41" i="53"/>
  <c r="B14" i="64" l="1"/>
  <c r="G78" i="53"/>
  <c r="D78" i="53"/>
  <c r="B78" i="53"/>
  <c r="G81" i="53"/>
  <c r="D81" i="53"/>
  <c r="C81" i="53"/>
  <c r="B16" i="70"/>
  <c r="B15" i="70"/>
  <c r="D8" i="72"/>
  <c r="D10" i="72"/>
  <c r="C34" i="72"/>
  <c r="F30" i="72"/>
  <c r="D30" i="72"/>
  <c r="B30" i="72"/>
  <c r="E30" i="72" s="1"/>
  <c r="D14" i="72" s="1"/>
  <c r="G14" i="72" s="1"/>
  <c r="C29" i="72"/>
  <c r="E29" i="72" s="1"/>
  <c r="D15" i="72" s="1"/>
  <c r="G15" i="72" s="1"/>
  <c r="K22" i="72"/>
  <c r="L22" i="72" s="1"/>
  <c r="F21" i="72"/>
  <c r="G21" i="72" s="1"/>
  <c r="D21" i="72"/>
  <c r="G20" i="72"/>
  <c r="D20" i="72"/>
  <c r="G19" i="72"/>
  <c r="D19" i="72"/>
  <c r="D18" i="72"/>
  <c r="G18" i="72" s="1"/>
  <c r="D17" i="72"/>
  <c r="G17" i="72" s="1"/>
  <c r="F16" i="72"/>
  <c r="G16" i="72" s="1"/>
  <c r="G13" i="72"/>
  <c r="D12" i="72"/>
  <c r="G12" i="72" s="1"/>
  <c r="G11" i="72"/>
  <c r="D11" i="72"/>
  <c r="G10" i="72"/>
  <c r="B16" i="55"/>
  <c r="B15" i="55"/>
  <c r="D14" i="65"/>
  <c r="D15" i="65"/>
  <c r="F30" i="65"/>
  <c r="E30" i="65"/>
  <c r="B30" i="65"/>
  <c r="D30" i="65"/>
  <c r="C34" i="65"/>
  <c r="D19" i="65"/>
  <c r="D21" i="65"/>
  <c r="D10" i="65"/>
  <c r="B10" i="65" s="1"/>
  <c r="D120" i="71"/>
  <c r="D11" i="65"/>
  <c r="D10" i="61"/>
  <c r="D13" i="61" s="1"/>
  <c r="B13" i="55"/>
  <c r="D11" i="60"/>
  <c r="F11" i="60" s="1"/>
  <c r="D22" i="55"/>
  <c r="D22" i="70"/>
  <c r="D28" i="70"/>
  <c r="G28" i="70" s="1"/>
  <c r="B28" i="70"/>
  <c r="B28" i="55"/>
  <c r="G28" i="55" s="1"/>
  <c r="D28" i="55"/>
  <c r="D14" i="61" l="1"/>
  <c r="B22" i="51" s="1"/>
  <c r="G22" i="72"/>
  <c r="G24" i="72" s="1"/>
  <c r="H24" i="72" s="1"/>
  <c r="B10" i="72"/>
  <c r="J31" i="70"/>
  <c r="G29" i="70"/>
  <c r="G30" i="70"/>
  <c r="L22" i="70"/>
  <c r="M22" i="70" s="1"/>
  <c r="O22" i="70" s="1"/>
  <c r="L21" i="70"/>
  <c r="M21" i="70" s="1"/>
  <c r="O21" i="70" s="1"/>
  <c r="K21" i="70"/>
  <c r="O20" i="70"/>
  <c r="N20" i="70"/>
  <c r="N19" i="70"/>
  <c r="O19" i="70" s="1"/>
  <c r="K19" i="70"/>
  <c r="L23" i="70" s="1"/>
  <c r="D15" i="70"/>
  <c r="D15" i="64" l="1"/>
  <c r="D12" i="64"/>
  <c r="B23" i="51"/>
  <c r="O23" i="70"/>
  <c r="O25" i="70"/>
  <c r="L24" i="70"/>
  <c r="M19" i="70"/>
  <c r="B24" i="51" l="1"/>
  <c r="G24" i="51" s="1"/>
  <c r="G23" i="51"/>
  <c r="G16" i="70"/>
  <c r="D74" i="53"/>
  <c r="I78" i="53"/>
  <c r="G77" i="53"/>
  <c r="D75" i="53"/>
  <c r="D73" i="53"/>
  <c r="D71" i="53"/>
  <c r="D70" i="53"/>
  <c r="D69" i="53"/>
  <c r="D68" i="53"/>
  <c r="D52" i="53"/>
  <c r="I57" i="53"/>
  <c r="G56" i="53"/>
  <c r="G55" i="53"/>
  <c r="D54" i="53"/>
  <c r="D53" i="53"/>
  <c r="D50" i="53"/>
  <c r="D49" i="53"/>
  <c r="D48" i="53"/>
  <c r="D47" i="53"/>
  <c r="D37" i="53"/>
  <c r="I41" i="53"/>
  <c r="G40" i="53"/>
  <c r="G39" i="53"/>
  <c r="D38" i="53"/>
  <c r="D34" i="53"/>
  <c r="D33" i="53"/>
  <c r="D32" i="53"/>
  <c r="D31" i="53"/>
  <c r="F36" i="63"/>
  <c r="G36" i="63" s="1"/>
  <c r="H36" i="63" s="1"/>
  <c r="K38" i="63"/>
  <c r="L38" i="63" s="1"/>
  <c r="F37" i="63"/>
  <c r="B36" i="63"/>
  <c r="K30" i="63" l="1"/>
  <c r="L30" i="63" s="1"/>
  <c r="F29" i="63"/>
  <c r="G28" i="63"/>
  <c r="H28" i="63" s="1"/>
  <c r="B28" i="63"/>
  <c r="G20" i="63" l="1"/>
  <c r="H20" i="63" s="1"/>
  <c r="K22" i="63"/>
  <c r="L22" i="63" s="1"/>
  <c r="F21" i="63"/>
  <c r="I57" i="67"/>
  <c r="F37" i="68"/>
  <c r="D32" i="68"/>
  <c r="B14" i="68" s="1"/>
  <c r="G35" i="68"/>
  <c r="B20" i="63" l="1"/>
  <c r="O25" i="55" l="1"/>
  <c r="O21" i="55"/>
  <c r="O23" i="55" s="1"/>
  <c r="L24" i="55"/>
  <c r="O22" i="55"/>
  <c r="O20" i="55"/>
  <c r="O19" i="55"/>
  <c r="N19" i="55"/>
  <c r="G19" i="65"/>
  <c r="D12" i="65"/>
  <c r="C29" i="65"/>
  <c r="B15" i="64"/>
  <c r="D22" i="53"/>
  <c r="D21" i="53"/>
  <c r="D18" i="53"/>
  <c r="D16" i="53"/>
  <c r="F9" i="60" l="1"/>
  <c r="E14" i="46"/>
  <c r="D18" i="65"/>
  <c r="B22" i="55"/>
  <c r="G22" i="55" s="1"/>
  <c r="G16" i="55"/>
  <c r="M22" i="55" l="1"/>
  <c r="N20" i="55"/>
  <c r="L22" i="55"/>
  <c r="L21" i="55"/>
  <c r="B22" i="70" l="1"/>
  <c r="G22" i="70" s="1"/>
  <c r="G23" i="70" s="1"/>
  <c r="G15" i="70"/>
  <c r="G17" i="70" s="1"/>
  <c r="B8" i="59"/>
  <c r="B9" i="59"/>
  <c r="B10" i="59"/>
  <c r="B7" i="59"/>
  <c r="J7" i="59"/>
  <c r="I10" i="59"/>
  <c r="I9" i="59"/>
  <c r="I7" i="59"/>
  <c r="H10" i="59"/>
  <c r="H9" i="59"/>
  <c r="H8" i="59"/>
  <c r="H7" i="59"/>
  <c r="G9" i="59"/>
  <c r="G7" i="59"/>
  <c r="B29" i="48"/>
  <c r="G29" i="21"/>
  <c r="F29" i="21"/>
  <c r="G19" i="21"/>
  <c r="F19" i="21"/>
  <c r="F13" i="48"/>
  <c r="G26" i="48"/>
  <c r="F26" i="48"/>
  <c r="H25" i="48"/>
  <c r="F25" i="48"/>
  <c r="G33" i="70" l="1"/>
  <c r="H33" i="70" s="1"/>
  <c r="H34" i="70" s="1"/>
  <c r="F31" i="47"/>
  <c r="E31" i="47"/>
  <c r="D31" i="47"/>
  <c r="D9" i="47"/>
  <c r="B9" i="47"/>
  <c r="D41" i="21"/>
  <c r="D40" i="21"/>
  <c r="C40" i="21"/>
  <c r="D39" i="21"/>
  <c r="F31" i="21" s="1"/>
  <c r="G31" i="21" s="1"/>
  <c r="C39" i="21"/>
  <c r="D31" i="21" l="1"/>
  <c r="D31" i="68" l="1"/>
  <c r="D24" i="68" s="1"/>
  <c r="G24" i="68" s="1"/>
  <c r="I184" i="67"/>
  <c r="I185" i="67"/>
  <c r="I194" i="67"/>
  <c r="I195" i="67"/>
  <c r="I196" i="67"/>
  <c r="I197" i="67"/>
  <c r="I198" i="67"/>
  <c r="I199" i="67"/>
  <c r="I200" i="67"/>
  <c r="I201" i="67"/>
  <c r="I202" i="67"/>
  <c r="I203" i="67"/>
  <c r="I204" i="67"/>
  <c r="I205" i="67"/>
  <c r="I206" i="67"/>
  <c r="I207" i="67"/>
  <c r="I208" i="67"/>
  <c r="I209" i="67"/>
  <c r="I210" i="67"/>
  <c r="I211" i="67"/>
  <c r="I212" i="67"/>
  <c r="I213" i="67"/>
  <c r="I214" i="67"/>
  <c r="I216" i="67"/>
  <c r="I217" i="67"/>
  <c r="I218" i="67"/>
  <c r="I219" i="67"/>
  <c r="I220" i="67"/>
  <c r="I221" i="67"/>
  <c r="I222" i="67"/>
  <c r="I223" i="67"/>
  <c r="I224" i="67"/>
  <c r="I225" i="67"/>
  <c r="I226" i="67"/>
  <c r="I227" i="67"/>
  <c r="I228" i="67"/>
  <c r="I229" i="67"/>
  <c r="I230" i="67"/>
  <c r="I231" i="67"/>
  <c r="I232" i="67"/>
  <c r="I233" i="67"/>
  <c r="I234" i="67"/>
  <c r="I235" i="67"/>
  <c r="I236" i="67"/>
  <c r="I237" i="67"/>
  <c r="I238" i="67"/>
  <c r="I239" i="67"/>
  <c r="I241" i="67"/>
  <c r="I244" i="67"/>
  <c r="I246" i="67"/>
  <c r="D245" i="67"/>
  <c r="I245" i="67" s="1"/>
  <c r="D243" i="67"/>
  <c r="I243" i="67" s="1"/>
  <c r="D242" i="67"/>
  <c r="I242" i="67" s="1"/>
  <c r="D240" i="67"/>
  <c r="I240" i="67" s="1"/>
  <c r="D215" i="67"/>
  <c r="I215" i="67" s="1"/>
  <c r="H193" i="67"/>
  <c r="I193" i="67" s="1"/>
  <c r="H192" i="67"/>
  <c r="I192" i="67" s="1"/>
  <c r="H191" i="67"/>
  <c r="I191" i="67" s="1"/>
  <c r="H190" i="67"/>
  <c r="I190" i="67" s="1"/>
  <c r="H189" i="67"/>
  <c r="I189" i="67" s="1"/>
  <c r="H188" i="67"/>
  <c r="I188" i="67" s="1"/>
  <c r="H187" i="67"/>
  <c r="I187" i="67" s="1"/>
  <c r="H186" i="67"/>
  <c r="I186" i="67" s="1"/>
  <c r="H185" i="67"/>
  <c r="H184" i="67"/>
  <c r="H183" i="67"/>
  <c r="I183" i="67" s="1"/>
  <c r="H182" i="67"/>
  <c r="I182" i="67" s="1"/>
  <c r="H181" i="67"/>
  <c r="I181" i="67" s="1"/>
  <c r="H180" i="67"/>
  <c r="I180" i="67" s="1"/>
  <c r="H179" i="67"/>
  <c r="I179" i="67" s="1"/>
  <c r="H178" i="67"/>
  <c r="I178" i="67" s="1"/>
  <c r="H177" i="67"/>
  <c r="I177" i="67" s="1"/>
  <c r="H176" i="67"/>
  <c r="I176" i="67" s="1"/>
  <c r="H175" i="67"/>
  <c r="I175" i="67" s="1"/>
  <c r="H174" i="67"/>
  <c r="I174" i="67" s="1"/>
  <c r="H173" i="67"/>
  <c r="I173" i="67" s="1"/>
  <c r="H172" i="67"/>
  <c r="I172" i="67" s="1"/>
  <c r="H171" i="67"/>
  <c r="I171" i="67" s="1"/>
  <c r="H170" i="67"/>
  <c r="I170" i="67" s="1"/>
  <c r="H169" i="67"/>
  <c r="H168" i="67"/>
  <c r="H167" i="67"/>
  <c r="H166" i="67"/>
  <c r="H165" i="67"/>
  <c r="H164" i="67"/>
  <c r="H163" i="67"/>
  <c r="H162" i="67"/>
  <c r="H161" i="67"/>
  <c r="H160" i="67"/>
  <c r="H159" i="67"/>
  <c r="H158" i="67"/>
  <c r="H157" i="67"/>
  <c r="H156" i="67"/>
  <c r="H155" i="67"/>
  <c r="H154" i="67"/>
  <c r="H153" i="67"/>
  <c r="H152" i="67"/>
  <c r="H151" i="67"/>
  <c r="H150" i="67"/>
  <c r="H149" i="67"/>
  <c r="H148" i="67"/>
  <c r="H147" i="67"/>
  <c r="H146" i="67"/>
  <c r="H145" i="67"/>
  <c r="H144" i="67"/>
  <c r="H143" i="67"/>
  <c r="H142" i="67"/>
  <c r="H141" i="67"/>
  <c r="H140" i="67"/>
  <c r="H139" i="67"/>
  <c r="H138" i="67"/>
  <c r="H137" i="67"/>
  <c r="H136" i="67"/>
  <c r="H135" i="67"/>
  <c r="H134" i="67"/>
  <c r="H133" i="67"/>
  <c r="H132" i="67"/>
  <c r="H131" i="67"/>
  <c r="H130" i="67"/>
  <c r="H129" i="67"/>
  <c r="H128" i="67"/>
  <c r="H127" i="67"/>
  <c r="H126" i="67"/>
  <c r="D193" i="67"/>
  <c r="D125" i="67"/>
  <c r="I123" i="67"/>
  <c r="D56" i="67"/>
  <c r="D54" i="67"/>
  <c r="D55" i="67"/>
  <c r="D52" i="67"/>
  <c r="D38" i="67"/>
  <c r="I17" i="67"/>
  <c r="I18" i="67"/>
  <c r="I19" i="67"/>
  <c r="I20" i="67"/>
  <c r="I21" i="67"/>
  <c r="I22" i="67"/>
  <c r="I23" i="67"/>
  <c r="I24" i="67"/>
  <c r="I26" i="67"/>
  <c r="I27" i="67"/>
  <c r="I28" i="67"/>
  <c r="I29" i="67"/>
  <c r="I30" i="67"/>
  <c r="I31" i="67"/>
  <c r="I32" i="67"/>
  <c r="D33" i="67"/>
  <c r="I33" i="67" s="1"/>
  <c r="D25" i="67"/>
  <c r="I25" i="67" s="1"/>
  <c r="D16" i="67"/>
  <c r="I16" i="67" s="1"/>
  <c r="D15" i="67"/>
  <c r="D13" i="67"/>
  <c r="D12" i="67"/>
  <c r="E23" i="46"/>
  <c r="E22" i="46"/>
  <c r="E21" i="46"/>
  <c r="C34" i="62"/>
  <c r="C32" i="62"/>
  <c r="C31" i="62"/>
  <c r="C33" i="62" s="1"/>
  <c r="D14" i="62"/>
  <c r="D23" i="62" s="1"/>
  <c r="D11" i="62"/>
  <c r="D21" i="62" s="1"/>
  <c r="D15" i="55"/>
  <c r="D10" i="68" l="1"/>
  <c r="D17" i="68" s="1"/>
  <c r="D18" i="68" s="1"/>
  <c r="D25" i="68"/>
  <c r="D23" i="68"/>
  <c r="D11" i="68"/>
  <c r="D13" i="68"/>
  <c r="D14" i="68" s="1"/>
  <c r="D15" i="68"/>
  <c r="D16" i="68" s="1"/>
  <c r="D38" i="68"/>
  <c r="G38" i="68" s="1"/>
  <c r="D34" i="68"/>
  <c r="D33" i="68"/>
  <c r="G33" i="68" s="1"/>
  <c r="H31" i="68"/>
  <c r="D37" i="68"/>
  <c r="D36" i="68" s="1"/>
  <c r="G34" i="68"/>
  <c r="F21" i="65"/>
  <c r="D12" i="68" l="1"/>
  <c r="D19" i="68" s="1"/>
  <c r="D20" i="68" s="1"/>
  <c r="G25" i="68"/>
  <c r="G26" i="68" s="1"/>
  <c r="G36" i="68"/>
  <c r="G37" i="68"/>
  <c r="F11" i="64"/>
  <c r="F10" i="64"/>
  <c r="G39" i="68" l="1"/>
  <c r="G42" i="68" s="1"/>
  <c r="D15" i="53"/>
  <c r="D17" i="53"/>
  <c r="G23" i="53" l="1"/>
  <c r="D26" i="59"/>
  <c r="I161" i="67"/>
  <c r="I140" i="67"/>
  <c r="I142" i="67"/>
  <c r="I143" i="67"/>
  <c r="I144" i="67"/>
  <c r="I149" i="67"/>
  <c r="I150" i="67"/>
  <c r="I151" i="67"/>
  <c r="I152" i="67"/>
  <c r="I153" i="67"/>
  <c r="I154" i="67"/>
  <c r="I156" i="67"/>
  <c r="I157" i="67"/>
  <c r="I158" i="67"/>
  <c r="I159" i="67"/>
  <c r="I160" i="67"/>
  <c r="I162" i="67"/>
  <c r="I163" i="67"/>
  <c r="I164" i="67"/>
  <c r="I165" i="67"/>
  <c r="I166" i="67"/>
  <c r="I167" i="67"/>
  <c r="I168" i="67"/>
  <c r="I169" i="67"/>
  <c r="I155" i="67"/>
  <c r="I148" i="67"/>
  <c r="I147" i="67"/>
  <c r="I146" i="67"/>
  <c r="I145" i="67"/>
  <c r="I141" i="67"/>
  <c r="I132" i="67"/>
  <c r="I133" i="67"/>
  <c r="I139" i="67"/>
  <c r="I138" i="67"/>
  <c r="I137" i="67"/>
  <c r="I136" i="67"/>
  <c r="I135" i="67"/>
  <c r="I134" i="67"/>
  <c r="I131" i="67"/>
  <c r="I130" i="67"/>
  <c r="I129" i="67"/>
  <c r="I128" i="67"/>
  <c r="I127" i="67"/>
  <c r="I126" i="67"/>
  <c r="I125" i="67"/>
  <c r="I124" i="67"/>
  <c r="I121" i="67"/>
  <c r="I122" i="67"/>
  <c r="I120" i="67"/>
  <c r="I119" i="67"/>
  <c r="I118" i="67"/>
  <c r="I117" i="67"/>
  <c r="I116" i="67"/>
  <c r="I115" i="67"/>
  <c r="I114" i="67"/>
  <c r="I113" i="67"/>
  <c r="I110" i="67"/>
  <c r="I109" i="67"/>
  <c r="I108" i="67"/>
  <c r="I107" i="67"/>
  <c r="I106" i="67"/>
  <c r="I105" i="67"/>
  <c r="I104" i="67"/>
  <c r="I102" i="67"/>
  <c r="I97" i="67"/>
  <c r="I98" i="67"/>
  <c r="I99" i="67"/>
  <c r="I100" i="67"/>
  <c r="I101" i="67"/>
  <c r="I86" i="67"/>
  <c r="I87" i="67"/>
  <c r="I88" i="67"/>
  <c r="I89" i="67"/>
  <c r="I90" i="67"/>
  <c r="I91" i="67"/>
  <c r="I92" i="67"/>
  <c r="I93" i="67"/>
  <c r="I94" i="67"/>
  <c r="I95" i="67"/>
  <c r="I96" i="67"/>
  <c r="I78" i="67"/>
  <c r="I79" i="67"/>
  <c r="I80" i="67"/>
  <c r="I81" i="67"/>
  <c r="M34" i="67" s="1"/>
  <c r="D15" i="62" s="1"/>
  <c r="I82" i="67"/>
  <c r="I83" i="67"/>
  <c r="I84" i="67"/>
  <c r="I85" i="67"/>
  <c r="I103" i="67"/>
  <c r="I111" i="67"/>
  <c r="I112" i="67"/>
  <c r="I71" i="67"/>
  <c r="I72" i="67"/>
  <c r="I73" i="67"/>
  <c r="I74" i="67"/>
  <c r="I75" i="67"/>
  <c r="I76" i="67"/>
  <c r="I77" i="67"/>
  <c r="I60" i="67"/>
  <c r="I62" i="67"/>
  <c r="I63" i="67"/>
  <c r="I64" i="67"/>
  <c r="I65" i="67"/>
  <c r="I66" i="67"/>
  <c r="I67" i="67"/>
  <c r="I68" i="67"/>
  <c r="I69" i="67"/>
  <c r="I70" i="67"/>
  <c r="I61" i="67"/>
  <c r="I59" i="67"/>
  <c r="I58" i="67"/>
  <c r="I44" i="67"/>
  <c r="I45" i="67"/>
  <c r="I47" i="67"/>
  <c r="I48" i="67"/>
  <c r="I49" i="67"/>
  <c r="I50" i="67"/>
  <c r="I51" i="67"/>
  <c r="I52" i="67"/>
  <c r="I53" i="67"/>
  <c r="I54" i="67"/>
  <c r="M32" i="67" s="1"/>
  <c r="I55" i="67"/>
  <c r="M33" i="67" s="1"/>
  <c r="I56" i="67"/>
  <c r="I46" i="67"/>
  <c r="B2" i="67"/>
  <c r="B1" i="67"/>
  <c r="B49" i="53" l="1"/>
  <c r="G49" i="53" s="1"/>
  <c r="B17" i="53"/>
  <c r="B70" i="53"/>
  <c r="G70" i="53" s="1"/>
  <c r="B33" i="53"/>
  <c r="G33" i="53" s="1"/>
  <c r="B21" i="53"/>
  <c r="B74" i="53"/>
  <c r="B37" i="53"/>
  <c r="B53" i="53"/>
  <c r="M17" i="67"/>
  <c r="G21" i="53"/>
  <c r="H21" i="53" s="1"/>
  <c r="I21" i="53"/>
  <c r="G16" i="62"/>
  <c r="M12" i="67"/>
  <c r="B19" i="51" s="1"/>
  <c r="I53" i="53" l="1"/>
  <c r="J53" i="53" s="1"/>
  <c r="G53" i="53"/>
  <c r="H53" i="53" s="1"/>
  <c r="I37" i="53"/>
  <c r="J37" i="53" s="1"/>
  <c r="G37" i="53"/>
  <c r="H37" i="53" s="1"/>
  <c r="I74" i="53"/>
  <c r="J74" i="53" s="1"/>
  <c r="G74" i="53"/>
  <c r="H74" i="53" s="1"/>
  <c r="J21" i="53"/>
  <c r="C25" i="59"/>
  <c r="C35" i="61"/>
  <c r="D31" i="59" l="1"/>
  <c r="D12" i="61"/>
  <c r="G21" i="68"/>
  <c r="G16" i="68"/>
  <c r="G14" i="68"/>
  <c r="D32" i="21"/>
  <c r="D29" i="21"/>
  <c r="D30" i="21" s="1"/>
  <c r="D28" i="21"/>
  <c r="D10" i="21"/>
  <c r="D10" i="47"/>
  <c r="F10" i="47" s="1"/>
  <c r="K16" i="64"/>
  <c r="G18" i="68" l="1"/>
  <c r="G23" i="68"/>
  <c r="G13" i="66"/>
  <c r="G12" i="68" l="1"/>
  <c r="G20" i="68" l="1"/>
  <c r="G19" i="68"/>
  <c r="I11" i="67"/>
  <c r="I12" i="67"/>
  <c r="I13" i="67"/>
  <c r="I14" i="67"/>
  <c r="I15" i="67"/>
  <c r="M24" i="67"/>
  <c r="B17" i="51" s="1"/>
  <c r="M26" i="67"/>
  <c r="M28" i="67"/>
  <c r="I34" i="67"/>
  <c r="I35" i="67"/>
  <c r="I36" i="67"/>
  <c r="I37" i="67"/>
  <c r="I38" i="67"/>
  <c r="I39" i="67"/>
  <c r="M29" i="67" s="1"/>
  <c r="I40" i="67"/>
  <c r="I41" i="67"/>
  <c r="I42" i="67"/>
  <c r="I43" i="67"/>
  <c r="M30" i="67" s="1"/>
  <c r="B52" i="53" l="1"/>
  <c r="G52" i="53" s="1"/>
  <c r="H52" i="53" s="1"/>
  <c r="B20" i="53"/>
  <c r="B73" i="53"/>
  <c r="G73" i="53" s="1"/>
  <c r="H73" i="53" s="1"/>
  <c r="B36" i="53"/>
  <c r="G36" i="53" s="1"/>
  <c r="B48" i="53"/>
  <c r="G48" i="53" s="1"/>
  <c r="B32" i="53"/>
  <c r="G32" i="53" s="1"/>
  <c r="B69" i="53"/>
  <c r="G69" i="53" s="1"/>
  <c r="B16" i="53"/>
  <c r="G16" i="53" s="1"/>
  <c r="B50" i="53"/>
  <c r="G50" i="53" s="1"/>
  <c r="B34" i="53"/>
  <c r="G34" i="53" s="1"/>
  <c r="B71" i="53"/>
  <c r="G71" i="53" s="1"/>
  <c r="B18" i="53"/>
  <c r="G18" i="53" s="1"/>
  <c r="B72" i="53"/>
  <c r="G72" i="53" s="1"/>
  <c r="B19" i="53"/>
  <c r="B51" i="53"/>
  <c r="G51" i="53" s="1"/>
  <c r="B35" i="53"/>
  <c r="G35" i="53" s="1"/>
  <c r="B15" i="62"/>
  <c r="M25" i="67"/>
  <c r="M31" i="67"/>
  <c r="M16" i="67"/>
  <c r="M15" i="67"/>
  <c r="M27" i="67"/>
  <c r="M11" i="67"/>
  <c r="M23" i="67"/>
  <c r="D10" i="64" s="1"/>
  <c r="D34" i="63" l="1"/>
  <c r="D26" i="63"/>
  <c r="D18" i="63"/>
  <c r="D10" i="63"/>
  <c r="D11" i="63" s="1"/>
  <c r="B47" i="53"/>
  <c r="G47" i="53" s="1"/>
  <c r="B31" i="53"/>
  <c r="G31" i="53" s="1"/>
  <c r="B68" i="53"/>
  <c r="G68" i="53" s="1"/>
  <c r="B15" i="53"/>
  <c r="B22" i="53"/>
  <c r="G22" i="53" s="1"/>
  <c r="B75" i="53"/>
  <c r="G75" i="53" s="1"/>
  <c r="B38" i="53"/>
  <c r="G38" i="53" s="1"/>
  <c r="B54" i="53"/>
  <c r="G54" i="53" s="1"/>
  <c r="D12" i="63"/>
  <c r="D37" i="63"/>
  <c r="D29" i="63"/>
  <c r="D21" i="63"/>
  <c r="B18" i="51"/>
  <c r="D11" i="64"/>
  <c r="B16" i="51"/>
  <c r="G10" i="64"/>
  <c r="I10" i="64" s="1"/>
  <c r="I14" i="64" s="1"/>
  <c r="B15" i="51"/>
  <c r="I15" i="51" s="1"/>
  <c r="G20" i="53"/>
  <c r="H20" i="53" s="1"/>
  <c r="H42" i="68"/>
  <c r="H44" i="68" s="1"/>
  <c r="G19" i="53"/>
  <c r="D20" i="65"/>
  <c r="G12" i="65"/>
  <c r="G13" i="65"/>
  <c r="D9" i="66"/>
  <c r="F29" i="48"/>
  <c r="I16" i="64"/>
  <c r="I13" i="64" s="1"/>
  <c r="I11" i="64"/>
  <c r="I15" i="64" s="1"/>
  <c r="I12" i="64" s="1"/>
  <c r="G42" i="53" l="1"/>
  <c r="H42" i="53" s="1"/>
  <c r="G58" i="53"/>
  <c r="H58" i="53" s="1"/>
  <c r="D14" i="64"/>
  <c r="G14" i="64" s="1"/>
  <c r="J14" i="64" s="1"/>
  <c r="D19" i="63"/>
  <c r="G19" i="63" s="1"/>
  <c r="B18" i="63"/>
  <c r="G18" i="63"/>
  <c r="D27" i="63"/>
  <c r="G27" i="63" s="1"/>
  <c r="B26" i="63"/>
  <c r="G26" i="63"/>
  <c r="D13" i="64"/>
  <c r="G13" i="64" s="1"/>
  <c r="B21" i="63"/>
  <c r="G21" i="63"/>
  <c r="B29" i="63"/>
  <c r="G29" i="63"/>
  <c r="B37" i="63"/>
  <c r="G37" i="63"/>
  <c r="G79" i="53"/>
  <c r="H79" i="53" s="1"/>
  <c r="D35" i="63"/>
  <c r="G35" i="63" s="1"/>
  <c r="B34" i="63"/>
  <c r="G34" i="63"/>
  <c r="B10" i="63"/>
  <c r="G22" i="63" l="1"/>
  <c r="G30" i="63"/>
  <c r="H30" i="63" s="1"/>
  <c r="G38" i="63"/>
  <c r="H38" i="63" s="1"/>
  <c r="D9" i="60"/>
  <c r="G29" i="55"/>
  <c r="G10" i="65"/>
  <c r="D17" i="65"/>
  <c r="H22" i="63" l="1"/>
  <c r="G42" i="63"/>
  <c r="G17" i="51"/>
  <c r="B29" i="59"/>
  <c r="B12" i="63" l="1"/>
  <c r="D10" i="66" l="1"/>
  <c r="G20" i="65"/>
  <c r="G15" i="65"/>
  <c r="G12" i="63"/>
  <c r="G11" i="63"/>
  <c r="D30" i="59"/>
  <c r="D26" i="61" l="1"/>
  <c r="D25" i="61"/>
  <c r="D24" i="61"/>
  <c r="D23" i="61"/>
  <c r="D22" i="61"/>
  <c r="D21" i="61"/>
  <c r="D20" i="61"/>
  <c r="D55" i="48"/>
  <c r="D17" i="21"/>
  <c r="D11" i="21" l="1"/>
  <c r="D27" i="61"/>
  <c r="D13" i="21"/>
  <c r="D15" i="21"/>
  <c r="F58" i="48"/>
  <c r="G58" i="48" s="1"/>
  <c r="F57" i="48"/>
  <c r="F55" i="48"/>
  <c r="D57" i="48"/>
  <c r="D56" i="48"/>
  <c r="G56" i="48" s="1"/>
  <c r="F52" i="48"/>
  <c r="D52" i="48"/>
  <c r="D53" i="48" s="1"/>
  <c r="G53" i="48" s="1"/>
  <c r="D54" i="48"/>
  <c r="D51" i="48"/>
  <c r="G51" i="48" s="1"/>
  <c r="D50" i="48"/>
  <c r="D49" i="48" s="1"/>
  <c r="F54" i="48"/>
  <c r="G54" i="48" l="1"/>
  <c r="G52" i="48"/>
  <c r="G55" i="48"/>
  <c r="G50" i="48"/>
  <c r="G49" i="48"/>
  <c r="G57" i="48"/>
  <c r="G59" i="48" l="1"/>
  <c r="D18" i="21" l="1"/>
  <c r="G18" i="21" s="1"/>
  <c r="D20" i="58" l="1"/>
  <c r="D21" i="58"/>
  <c r="G25" i="61" l="1"/>
  <c r="G24" i="61"/>
  <c r="F27" i="61"/>
  <c r="I10" i="61" l="1"/>
  <c r="D28" i="61"/>
  <c r="H25" i="64" s="1"/>
  <c r="G27" i="61"/>
  <c r="G23" i="61"/>
  <c r="F16" i="48"/>
  <c r="F28" i="48"/>
  <c r="D28" i="48"/>
  <c r="D26" i="48"/>
  <c r="D27" i="48" s="1"/>
  <c r="D15" i="48"/>
  <c r="D13" i="48"/>
  <c r="D14" i="48" s="1"/>
  <c r="D23" i="48"/>
  <c r="D22" i="48" s="1"/>
  <c r="D12" i="48"/>
  <c r="D11" i="48"/>
  <c r="H26" i="64" l="1"/>
  <c r="H28" i="64" s="1"/>
  <c r="H27" i="64"/>
  <c r="J23" i="61"/>
  <c r="J24" i="61" s="1"/>
  <c r="G11" i="65"/>
  <c r="G15" i="64" l="1"/>
  <c r="J12" i="64" s="1"/>
  <c r="G12" i="64"/>
  <c r="G16" i="51"/>
  <c r="G19" i="51"/>
  <c r="D19" i="51"/>
  <c r="D18" i="51"/>
  <c r="G24" i="53"/>
  <c r="I25" i="53"/>
  <c r="K19" i="51" l="1"/>
  <c r="J19" i="51"/>
  <c r="J16" i="64"/>
  <c r="J15" i="64"/>
  <c r="H15" i="51"/>
  <c r="G17" i="53"/>
  <c r="G15" i="53"/>
  <c r="G11" i="62"/>
  <c r="D28" i="59"/>
  <c r="D27" i="59"/>
  <c r="D25" i="59"/>
  <c r="G26" i="53" l="1"/>
  <c r="H26" i="53" s="1"/>
  <c r="G11" i="64"/>
  <c r="G18" i="65"/>
  <c r="K21" i="55"/>
  <c r="M21" i="55" s="1"/>
  <c r="K19" i="55"/>
  <c r="G10" i="66"/>
  <c r="G11" i="66"/>
  <c r="G12" i="66"/>
  <c r="G9" i="66"/>
  <c r="D12" i="60"/>
  <c r="F12" i="60" s="1"/>
  <c r="D13" i="60"/>
  <c r="F13" i="60" s="1"/>
  <c r="D14" i="60"/>
  <c r="F14" i="60" s="1"/>
  <c r="D10" i="60"/>
  <c r="F10" i="60" s="1"/>
  <c r="F16" i="65"/>
  <c r="G16" i="65" s="1"/>
  <c r="G21" i="65"/>
  <c r="G17" i="65"/>
  <c r="K22" i="65"/>
  <c r="L22" i="65" s="1"/>
  <c r="L16" i="64"/>
  <c r="G10" i="63"/>
  <c r="G14" i="63" s="1"/>
  <c r="H14" i="63" s="1"/>
  <c r="K14" i="63"/>
  <c r="L14" i="63" s="1"/>
  <c r="G16" i="64" l="1"/>
  <c r="J13" i="64" s="1"/>
  <c r="F15" i="60"/>
  <c r="M19" i="55"/>
  <c r="L23" i="55"/>
  <c r="G30" i="55"/>
  <c r="G14" i="65"/>
  <c r="G22" i="65" s="1"/>
  <c r="G15" i="66"/>
  <c r="G18" i="64" l="1"/>
  <c r="B30" i="51"/>
  <c r="G22" i="51"/>
  <c r="G15" i="55"/>
  <c r="G17" i="55" s="1"/>
  <c r="H10" i="64"/>
  <c r="H11" i="64" s="1"/>
  <c r="H13" i="64" s="1"/>
  <c r="G24" i="65"/>
  <c r="H15" i="66"/>
  <c r="G40" i="63"/>
  <c r="H18" i="64"/>
  <c r="H20" i="64" s="1"/>
  <c r="G23" i="55" l="1"/>
  <c r="G33" i="55" s="1"/>
  <c r="H12" i="64"/>
  <c r="H24" i="65"/>
  <c r="H40" i="63"/>
  <c r="D37" i="59"/>
  <c r="D29" i="59"/>
  <c r="D32" i="59" s="1"/>
  <c r="D31" i="58"/>
  <c r="D32" i="58"/>
  <c r="D30" i="58"/>
  <c r="D24" i="58"/>
  <c r="E24" i="58" s="1"/>
  <c r="D22" i="58"/>
  <c r="D19" i="58"/>
  <c r="D8" i="58"/>
  <c r="D9" i="58"/>
  <c r="D10" i="58"/>
  <c r="D11" i="58"/>
  <c r="D12" i="58"/>
  <c r="D13" i="58"/>
  <c r="E13" i="58" s="1"/>
  <c r="D7" i="58"/>
  <c r="D19" i="59"/>
  <c r="D18" i="59"/>
  <c r="D17" i="59"/>
  <c r="D9" i="59"/>
  <c r="D8" i="59"/>
  <c r="F12" i="48"/>
  <c r="G12" i="48"/>
  <c r="H43" i="63" l="1"/>
  <c r="H33" i="55"/>
  <c r="D11" i="59"/>
  <c r="G26" i="61"/>
  <c r="D7" i="59"/>
  <c r="D25" i="58"/>
  <c r="D22" i="47" l="1"/>
  <c r="D23" i="47" s="1"/>
  <c r="F17" i="62" l="1"/>
  <c r="G17" i="62" s="1"/>
  <c r="H17" i="62" s="1"/>
  <c r="F13" i="62"/>
  <c r="G13" i="62" s="1"/>
  <c r="K25" i="62"/>
  <c r="L25" i="62" s="1"/>
  <c r="G12" i="61"/>
  <c r="G22" i="61"/>
  <c r="G21" i="61"/>
  <c r="K15" i="61"/>
  <c r="L15" i="61" s="1"/>
  <c r="G11" i="48"/>
  <c r="F43" i="48"/>
  <c r="G43" i="48" s="1"/>
  <c r="F42" i="48"/>
  <c r="D42" i="48"/>
  <c r="F40" i="48"/>
  <c r="D40" i="48"/>
  <c r="D41" i="48" s="1"/>
  <c r="G41" i="48" s="1"/>
  <c r="F39" i="48"/>
  <c r="D39" i="48"/>
  <c r="D38" i="48"/>
  <c r="G38" i="48" s="1"/>
  <c r="D37" i="48"/>
  <c r="G37" i="48" s="1"/>
  <c r="D36" i="48"/>
  <c r="G36" i="48" s="1"/>
  <c r="G29" i="48"/>
  <c r="G27" i="48"/>
  <c r="G23" i="48"/>
  <c r="K17" i="48"/>
  <c r="L17" i="48" s="1"/>
  <c r="G16" i="48"/>
  <c r="G21" i="21"/>
  <c r="F16" i="47"/>
  <c r="D39" i="49"/>
  <c r="B39" i="49"/>
  <c r="F39" i="49" s="1"/>
  <c r="D37" i="49"/>
  <c r="D38" i="49" s="1"/>
  <c r="G38" i="49" s="1"/>
  <c r="D36" i="49"/>
  <c r="G36" i="49" s="1"/>
  <c r="G10" i="61"/>
  <c r="D20" i="59"/>
  <c r="D38" i="59"/>
  <c r="D14" i="58"/>
  <c r="D33" i="58"/>
  <c r="D40" i="59" l="1"/>
  <c r="H13" i="62"/>
  <c r="G14" i="62"/>
  <c r="G13" i="61"/>
  <c r="G14" i="61"/>
  <c r="G17" i="61" s="1"/>
  <c r="D10" i="62"/>
  <c r="D19" i="62" s="1"/>
  <c r="G15" i="62"/>
  <c r="D18" i="62"/>
  <c r="D20" i="62" s="1"/>
  <c r="F17" i="60"/>
  <c r="F32" i="47"/>
  <c r="H31" i="47"/>
  <c r="G20" i="61"/>
  <c r="G28" i="61"/>
  <c r="G42" i="48"/>
  <c r="G39" i="48"/>
  <c r="D35" i="48"/>
  <c r="G35" i="48" s="1"/>
  <c r="G22" i="48"/>
  <c r="G40" i="48"/>
  <c r="G25" i="48"/>
  <c r="G28" i="48"/>
  <c r="D10" i="48"/>
  <c r="G10" i="48" s="1"/>
  <c r="G39" i="49"/>
  <c r="G37" i="49"/>
  <c r="D35" i="58"/>
  <c r="G10" i="62" l="1"/>
  <c r="G30" i="48"/>
  <c r="G62" i="48" s="1"/>
  <c r="G18" i="62"/>
  <c r="G15" i="61"/>
  <c r="G32" i="61" s="1"/>
  <c r="G29" i="61"/>
  <c r="G17" i="60"/>
  <c r="E40" i="59"/>
  <c r="E35" i="58"/>
  <c r="E37" i="58" s="1"/>
  <c r="G44" i="48"/>
  <c r="G40" i="49"/>
  <c r="J31" i="55"/>
  <c r="G61" i="53" l="1"/>
  <c r="H32" i="61" l="1"/>
  <c r="G35" i="61"/>
  <c r="H35" i="61" s="1"/>
  <c r="H61" i="53"/>
  <c r="H63" i="53" s="1"/>
  <c r="H34" i="55" l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2" i="21"/>
  <c r="F32" i="21" s="1"/>
  <c r="F15" i="48"/>
  <c r="G28" i="21"/>
  <c r="D14" i="21"/>
  <c r="F17" i="47"/>
  <c r="D12" i="62" l="1"/>
  <c r="D22" i="62" s="1"/>
  <c r="G15" i="48"/>
  <c r="G13" i="48"/>
  <c r="G32" i="21"/>
  <c r="G14" i="21"/>
  <c r="G30" i="21"/>
  <c r="G30" i="49"/>
  <c r="D17" i="49"/>
  <c r="B17" i="49"/>
  <c r="G14" i="49"/>
  <c r="D16" i="21"/>
  <c r="G16" i="21" s="1"/>
  <c r="G33" i="21" l="1"/>
  <c r="G12" i="62"/>
  <c r="F23" i="47"/>
  <c r="F22" i="47"/>
  <c r="F9" i="47"/>
  <c r="F11" i="47" s="1"/>
  <c r="D18" i="49"/>
  <c r="G18" i="49" s="1"/>
  <c r="D19" i="49"/>
  <c r="G19" i="49" s="1"/>
  <c r="G17" i="49"/>
  <c r="G27" i="62" l="1"/>
  <c r="D24" i="47"/>
  <c r="F24" i="47" s="1"/>
  <c r="G21" i="49"/>
  <c r="G46" i="49" s="1"/>
  <c r="H46" i="49" s="1"/>
  <c r="H27" i="62" l="1"/>
  <c r="H30" i="62" s="1"/>
  <c r="G14" i="48"/>
  <c r="G17" i="48" s="1"/>
  <c r="H11" i="36"/>
  <c r="H10" i="36"/>
  <c r="H9" i="36"/>
  <c r="H8" i="36"/>
  <c r="H7" i="36"/>
  <c r="H6" i="36"/>
  <c r="H12" i="36"/>
  <c r="H5" i="36"/>
  <c r="H62" i="48" l="1"/>
  <c r="H64" i="48" s="1"/>
  <c r="D12" i="21"/>
  <c r="D22" i="21"/>
  <c r="G22" i="21" s="1"/>
  <c r="G12" i="21" l="1"/>
  <c r="D19" i="21"/>
  <c r="D25" i="47" s="1"/>
  <c r="F25" i="47" s="1"/>
  <c r="F26" i="47" l="1"/>
  <c r="F34" i="47" s="1"/>
  <c r="D20" i="21"/>
  <c r="G20" i="21" s="1"/>
  <c r="G34" i="47" l="1"/>
  <c r="G23" i="21"/>
  <c r="G36" i="21" l="1"/>
  <c r="H36" i="21" l="1"/>
  <c r="H38" i="21" s="1"/>
  <c r="G28" i="51" l="1"/>
  <c r="H28" i="51" l="1"/>
  <c r="H3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6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4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A1B1C653-6A30-40D0-A361-28559755B50A}">
      <text>
        <r>
          <rPr>
            <sz val="9"/>
            <color indexed="81"/>
            <rFont val="Segoe UI"/>
            <family val="2"/>
          </rPr>
          <t>30% de perda</t>
        </r>
      </text>
    </comment>
    <comment ref="F36" authorId="0" shapeId="0" xr:uid="{82D2F4CB-C9BF-40F1-B6DD-475307089183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5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5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0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49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49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1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5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6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2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2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<sst xmlns="http://schemas.openxmlformats.org/spreadsheetml/2006/main" count="3249" uniqueCount="841">
  <si>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</si>
  <si>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</si>
  <si>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</si>
  <si>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</si>
  <si>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</si>
  <si>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</si>
  <si>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</si>
  <si>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</si>
  <si>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</si>
  <si>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</si>
  <si>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</si>
  <si>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</si>
  <si>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</si>
  <si>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</si>
  <si>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</si>
  <si>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</si>
  <si>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</si>
  <si>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</si>
  <si>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</si>
  <si>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</si>
  <si>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</si>
  <si>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</si>
  <si>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</si>
  <si>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</si>
  <si>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</si>
  <si>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</si>
  <si>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</si>
  <si>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</si>
  <si>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</si>
  <si>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</si>
  <si>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</si>
  <si>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</si>
  <si>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</si>
  <si>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</si>
  <si>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</si>
  <si>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</si>
  <si>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</si>
  <si>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</si>
  <si>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</si>
  <si>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</si>
  <si>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</si>
  <si>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</si>
  <si>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</si>
  <si>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</si>
  <si>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</si>
  <si>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</si>
  <si>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</si>
  <si>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</si>
  <si>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</si>
  <si>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</si>
  <si>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</si>
  <si>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</si>
  <si>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</si>
  <si>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</si>
  <si>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</si>
  <si>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</si>
  <si>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</si>
  <si>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</si>
  <si>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</si>
  <si>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</si>
  <si>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</si>
  <si>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</si>
  <si>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</si>
  <si>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</si>
  <si>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</si>
  <si>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</si>
  <si>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</si>
  <si>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</si>
  <si>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</si>
  <si>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</si>
  <si>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</si>
  <si>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</si>
  <si>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</si>
  <si>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</si>
  <si>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</si>
  <si>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</si>
  <si>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</si>
  <si>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</si>
  <si>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</si>
  <si>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</si>
  <si>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</si>
  <si>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</si>
  <si>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</si>
  <si>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</si>
  <si>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</si>
  <si>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</si>
  <si>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</si>
  <si>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</si>
  <si>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</si>
  <si>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</si>
  <si>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</si>
  <si>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</si>
  <si>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</si>
  <si>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</si>
  <si>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</si>
  <si>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</si>
  <si>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</si>
  <si>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</si>
  <si>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</si>
  <si>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</si>
  <si>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</si>
  <si>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</si>
  <si>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</si>
  <si>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</si>
  <si>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</si>
  <si>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</si>
  <si>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</si>
  <si>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</si>
  <si>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</si>
  <si>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</si>
  <si>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</si>
  <si>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</si>
  <si>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</si>
  <si>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</si>
  <si>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</si>
  <si>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</si>
  <si>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</si>
  <si>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</si>
  <si>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</si>
  <si>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</si>
  <si>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</si>
  <si>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</si>
  <si>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</si>
  <si>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</si>
  <si>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</si>
  <si>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</si>
  <si>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</si>
  <si>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</si>
  <si>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</si>
  <si>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</si>
  <si>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</si>
  <si>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</si>
  <si>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</si>
  <si>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</si>
  <si>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</si>
  <si>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</si>
  <si>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</si>
  <si>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</si>
  <si>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</si>
  <si>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</si>
  <si>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</si>
  <si>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</si>
  <si>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</si>
  <si>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</si>
  <si>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</si>
  <si>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</si>
  <si>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</si>
  <si>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</si>
  <si>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</si>
  <si>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</si>
  <si>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</si>
  <si>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</si>
  <si>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</si>
  <si>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</si>
  <si>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</si>
  <si>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</si>
  <si>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</si>
  <si>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</si>
  <si>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</si>
  <si>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</si>
  <si>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</si>
  <si>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</si>
  <si>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</si>
  <si>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</si>
  <si>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</si>
  <si>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</si>
  <si>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</si>
  <si>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</si>
  <si>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</si>
  <si>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</si>
  <si>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</si>
  <si>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</si>
  <si>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</si>
  <si>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</si>
  <si>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</si>
  <si>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</si>
  <si>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</si>
  <si>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</si>
  <si>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</si>
  <si>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</si>
  <si>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</si>
  <si>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</si>
  <si>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</si>
  <si>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</si>
  <si>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</si>
  <si>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</si>
  <si>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</si>
  <si>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</si>
  <si>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</si>
  <si>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</si>
  <si>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</si>
  <si>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</si>
  <si>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</si>
  <si>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</si>
  <si>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</si>
  <si>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</si>
  <si>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</si>
  <si>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</si>
  <si>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</si>
  <si>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</si>
  <si>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</si>
  <si>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</si>
  <si>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</si>
  <si>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</si>
  <si>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</si>
  <si>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</si>
  <si>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Piscina</t>
  </si>
  <si>
    <t xml:space="preserve">Porcelanato 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</si>
  <si>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</si>
  <si>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</si>
  <si>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</si>
  <si>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</si>
  <si>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</si>
  <si>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</si>
  <si>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</si>
  <si>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</si>
  <si>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</si>
  <si>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</si>
  <si>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</si>
  <si>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</si>
  <si>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</si>
  <si>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</si>
  <si>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</si>
  <si>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</si>
  <si>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</si>
  <si>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</si>
  <si>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</si>
  <si>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</si>
  <si>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</si>
  <si>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</si>
  <si>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</si>
  <si>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</si>
  <si>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</si>
  <si>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</si>
  <si>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</si>
  <si>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</si>
  <si>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</si>
  <si>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</si>
  <si>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</si>
  <si>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</si>
  <si>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</si>
  <si>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</si>
  <si>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</si>
  <si>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</si>
  <si>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</si>
  <si>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</si>
  <si>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</si>
  <si>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</si>
  <si>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</si>
  <si>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</si>
  <si>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</si>
  <si>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</si>
  <si>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</si>
  <si>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</si>
  <si>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</si>
  <si>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</si>
  <si>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</si>
  <si>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</si>
  <si>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</si>
  <si>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</si>
  <si>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</si>
  <si>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</si>
  <si>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</si>
  <si>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</si>
  <si>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</si>
  <si>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</si>
  <si>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</si>
  <si>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</si>
  <si>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</si>
  <si>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</si>
  <si>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</si>
  <si>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</si>
  <si>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</si>
  <si>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</si>
  <si>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</si>
  <si>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</si>
  <si>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</si>
  <si>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</si>
  <si>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</si>
  <si>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</si>
  <si>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</si>
  <si>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</si>
  <si>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</si>
  <si>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</si>
  <si>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</si>
  <si>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</si>
  <si>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</si>
  <si>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</si>
  <si>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</si>
  <si>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</si>
  <si>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</si>
  <si>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</si>
  <si>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</si>
  <si>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</si>
  <si>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</si>
  <si>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</si>
  <si>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</si>
  <si>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</si>
  <si>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</si>
  <si>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</si>
  <si>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</si>
  <si>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</si>
  <si>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</si>
  <si>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</si>
  <si>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</si>
  <si>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</si>
  <si>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CUBETAS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</si>
  <si>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</si>
  <si>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</si>
  <si>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</si>
  <si>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</si>
  <si>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</si>
  <si>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</si>
  <si>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</si>
  <si>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</si>
  <si>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</si>
  <si>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</si>
  <si>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</si>
  <si>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</si>
  <si>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</si>
  <si>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</si>
  <si>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</si>
  <si>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</si>
  <si>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</si>
  <si>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</si>
  <si>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</si>
  <si>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PASTILHA</t>
  </si>
  <si>
    <t>Piso alisado</t>
  </si>
  <si>
    <t>TOTAL ESQUADRIAS</t>
  </si>
  <si>
    <t>M²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</si>
  <si>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</si>
  <si>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</si>
  <si>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</si>
  <si>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</si>
  <si>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</si>
  <si>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</si>
  <si>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</si>
  <si>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</si>
  <si>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</si>
  <si>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</si>
  <si>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</si>
  <si>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Base obra Trindade Parkside</t>
  </si>
  <si>
    <t>ALVENARIA - DRYWALL</t>
  </si>
  <si>
    <t>CIMENTADO</t>
  </si>
  <si>
    <t>Equipamento de piscina</t>
  </si>
  <si>
    <t>TOTAL FORRO</t>
  </si>
  <si>
    <t>Fechadura Biometrica</t>
  </si>
  <si>
    <t>POLIDO</t>
  </si>
  <si>
    <t>Piso ranhurado</t>
  </si>
  <si>
    <t>Pele de vidro</t>
  </si>
  <si>
    <t>Lorenzo Gabriel</t>
  </si>
  <si>
    <t>Brise de fachada</t>
  </si>
  <si>
    <t>Meia Praia</t>
  </si>
  <si>
    <t>Não</t>
  </si>
  <si>
    <t>Sim</t>
  </si>
  <si>
    <t>CIRCULAÇÃO</t>
  </si>
  <si>
    <t>PISCINA</t>
  </si>
  <si>
    <t>HALL</t>
  </si>
  <si>
    <t>ACADEMIA</t>
  </si>
  <si>
    <t>SALÃO DE FESTAS</t>
  </si>
  <si>
    <t>RAMPA</t>
  </si>
  <si>
    <t>GARAGEM</t>
  </si>
  <si>
    <t>RESERVATORIO</t>
  </si>
  <si>
    <t>Área total</t>
  </si>
  <si>
    <t>Material</t>
  </si>
  <si>
    <t>ACABAMENTOS</t>
  </si>
  <si>
    <t>Revestimento</t>
  </si>
  <si>
    <t>Total</t>
  </si>
  <si>
    <t>Repetição</t>
  </si>
  <si>
    <t>Contrapiso (Sim/Não)</t>
  </si>
  <si>
    <t>Área (m²)</t>
  </si>
  <si>
    <t>Ambiente</t>
  </si>
  <si>
    <t>Pavimento</t>
  </si>
  <si>
    <t>CONTRAPISO</t>
  </si>
  <si>
    <t>LEVANTAMENTO DE PROJETO</t>
  </si>
  <si>
    <t>LEVANTAMENTO QUANTITATIVO</t>
  </si>
  <si>
    <t>Sem rebaixamento</t>
  </si>
  <si>
    <t>Comprimento do muro</t>
  </si>
  <si>
    <t>Altura do muro</t>
  </si>
  <si>
    <t>TOTAL CONTENÇÃO</t>
  </si>
  <si>
    <t>Sistema de placas solares</t>
  </si>
  <si>
    <t>mês</t>
  </si>
  <si>
    <t>ACESSO GARAGEM</t>
  </si>
  <si>
    <t>ENTREGAS</t>
  </si>
  <si>
    <t>ZELADORIA</t>
  </si>
  <si>
    <t>ESCADA</t>
  </si>
  <si>
    <t>PASSEIO</t>
  </si>
  <si>
    <t>SUITE</t>
  </si>
  <si>
    <t>SACADA</t>
  </si>
  <si>
    <t>VINILICO</t>
  </si>
  <si>
    <t>SUITE 1</t>
  </si>
  <si>
    <t>SUITE 2</t>
  </si>
  <si>
    <t>DORM 1</t>
  </si>
  <si>
    <t>DORM 2</t>
  </si>
  <si>
    <t>ESPAÇO GOURMET</t>
  </si>
  <si>
    <t>EMBORRACHADO</t>
  </si>
  <si>
    <t>Vinilico</t>
  </si>
  <si>
    <t>Emborrachado</t>
  </si>
  <si>
    <t>Forro</t>
  </si>
  <si>
    <t>Gesso</t>
  </si>
  <si>
    <t>REVESTIMENTOS E ACABAMENTOS DE PISO E TETO</t>
  </si>
  <si>
    <t>FORRO</t>
  </si>
  <si>
    <t>Plataforma elevatória</t>
  </si>
  <si>
    <t>TORRE DIF</t>
  </si>
  <si>
    <t>Pintura</t>
  </si>
  <si>
    <t>com tratamento de friso</t>
  </si>
  <si>
    <t>inox</t>
  </si>
  <si>
    <t>só banheiro</t>
  </si>
  <si>
    <t>cozinha</t>
  </si>
  <si>
    <t>Estreito</t>
  </si>
  <si>
    <t>D'Lohn Empreendimentos</t>
  </si>
  <si>
    <t>GEM-ETO-ARQ-EP-101/2/3/4/5/6/-R03</t>
  </si>
  <si>
    <t>SUBSOLO 2</t>
  </si>
  <si>
    <t>SUBSOLO 1</t>
  </si>
  <si>
    <t>TERREO / 1 PAV</t>
  </si>
  <si>
    <t>LOJA01</t>
  </si>
  <si>
    <t>LOJA02</t>
  </si>
  <si>
    <t>LOJA03</t>
  </si>
  <si>
    <t>LOJA04</t>
  </si>
  <si>
    <t>WC PCD LOJAS</t>
  </si>
  <si>
    <t>DEPÓSITO DE LIXO</t>
  </si>
  <si>
    <t>QGM</t>
  </si>
  <si>
    <t>CISTERNAS</t>
  </si>
  <si>
    <t>CERAMICA</t>
  </si>
  <si>
    <t>BWC</t>
  </si>
  <si>
    <t>CONCRETO CALÇADA</t>
  </si>
  <si>
    <t>PAV INTERMEDIARIO</t>
  </si>
  <si>
    <t>ESCADA LOJAS</t>
  </si>
  <si>
    <t>parte descoberta</t>
  </si>
  <si>
    <t>MARKET</t>
  </si>
  <si>
    <t>VENDING MACHINES</t>
  </si>
  <si>
    <t>COWORKING</t>
  </si>
  <si>
    <t>SALA DE JOGOS</t>
  </si>
  <si>
    <t>BRINQUEDOTECA</t>
  </si>
  <si>
    <t>PET PLACE</t>
  </si>
  <si>
    <t>AREA EXTERNA</t>
  </si>
  <si>
    <t>SAUNA</t>
  </si>
  <si>
    <t>AREA PISCINA</t>
  </si>
  <si>
    <t>WC</t>
  </si>
  <si>
    <t xml:space="preserve">WC PCD </t>
  </si>
  <si>
    <t>DECK</t>
  </si>
  <si>
    <t>MADEIRA</t>
  </si>
  <si>
    <t>ESTAR</t>
  </si>
  <si>
    <t>BWC 1</t>
  </si>
  <si>
    <t>BWC 2</t>
  </si>
  <si>
    <t>COZINHA</t>
  </si>
  <si>
    <t>2º PAV - APTO 01/02</t>
  </si>
  <si>
    <t>2º PAV - APTO 03</t>
  </si>
  <si>
    <t>2º PAV - APTO 04</t>
  </si>
  <si>
    <t>DORM</t>
  </si>
  <si>
    <t>BWC SUITE</t>
  </si>
  <si>
    <t>JARDIM</t>
  </si>
  <si>
    <t>2º PAV - APTO 05</t>
  </si>
  <si>
    <t>AS</t>
  </si>
  <si>
    <t>2º PAV - APTO 06</t>
  </si>
  <si>
    <t>2º PAV - APTO 07/8</t>
  </si>
  <si>
    <t>SUITE 3</t>
  </si>
  <si>
    <t>BWC 3</t>
  </si>
  <si>
    <t>2º PAV - APTO 09/10</t>
  </si>
  <si>
    <t>FLOREIRA</t>
  </si>
  <si>
    <t xml:space="preserve">2º PAV </t>
  </si>
  <si>
    <t>TIPO (X7)</t>
  </si>
  <si>
    <t>COBERTURA - APTO 01</t>
  </si>
  <si>
    <t>ESTAR+CIRC</t>
  </si>
  <si>
    <t>FLOREIRA INTERNA</t>
  </si>
  <si>
    <t>COBERTURA - APTO 02</t>
  </si>
  <si>
    <t>COBERTURA - APTO 03</t>
  </si>
  <si>
    <t>COBERTURA - APTO 04</t>
  </si>
  <si>
    <t>BARRILETE</t>
  </si>
  <si>
    <t>LAJE IMPERMEABILIZADA</t>
  </si>
  <si>
    <t>RESERVARTORIO</t>
  </si>
  <si>
    <t>TSMPA RESERVATORIO</t>
  </si>
  <si>
    <t>CONCRETO ESCVADO</t>
  </si>
  <si>
    <t>Profundidade de SPT</t>
  </si>
  <si>
    <t>Laje de subpressão</t>
  </si>
  <si>
    <t>concreto</t>
  </si>
  <si>
    <t>aço</t>
  </si>
  <si>
    <t>mo</t>
  </si>
  <si>
    <t>Área de subsolo (m2)</t>
  </si>
  <si>
    <t>30% de empolamento</t>
  </si>
  <si>
    <t>Lastro de concreto magto e=10cm</t>
  </si>
  <si>
    <t>INTERMED</t>
  </si>
  <si>
    <t>TIPO</t>
  </si>
  <si>
    <t>Polimento de concreto</t>
  </si>
  <si>
    <t>area medida (sem esquadrias)</t>
  </si>
  <si>
    <t>Concreto aparente</t>
  </si>
  <si>
    <t>praticamente toda aa rea da torre</t>
  </si>
  <si>
    <t>Ceramica</t>
  </si>
  <si>
    <t>Concreto calçada</t>
  </si>
  <si>
    <t>Deck</t>
  </si>
  <si>
    <t>Madeira sauna</t>
  </si>
  <si>
    <t>BRISE AREA TECNICA</t>
  </si>
  <si>
    <t>GC SACADA</t>
  </si>
  <si>
    <t>Gradil area tecnica</t>
  </si>
  <si>
    <t>brise movel</t>
  </si>
  <si>
    <t>Corrimão comercial</t>
  </si>
  <si>
    <t>deixado só 30% do perimetro</t>
  </si>
  <si>
    <t>60% da da area + floreiras</t>
  </si>
  <si>
    <t>40% da area (estruturas) + molduras (0,5m inclinado e 0,1m reto)</t>
  </si>
  <si>
    <t>Impermeabilizações com manta asfalticafloreiras</t>
  </si>
  <si>
    <t>Execução de mureta guia</t>
  </si>
  <si>
    <t>Serviço especializado parede diafragma</t>
  </si>
  <si>
    <t>Mobilização para parede diagragma</t>
  </si>
  <si>
    <t>Concreto (30 Mpa) COM CRISTALIZANTE</t>
  </si>
  <si>
    <t>Tratamento em juntas de concretagem com fita hidroexpansiva</t>
  </si>
  <si>
    <t>espessura</t>
  </si>
  <si>
    <t>Madeira</t>
  </si>
  <si>
    <t>MARQUISE</t>
  </si>
  <si>
    <t>GESSO</t>
  </si>
  <si>
    <t>GESSO + MADEIRA</t>
  </si>
  <si>
    <t>Forro de madeira</t>
  </si>
  <si>
    <t>GESSO + PVC</t>
  </si>
  <si>
    <t>Forro PVC imita madeira</t>
  </si>
  <si>
    <t>GESSO + VINILICO</t>
  </si>
  <si>
    <t>ACABAMENTOS EM PISO E PAREDE - PISO IMITA MADEIRA</t>
  </si>
  <si>
    <t>ACABAMENTOS EM PISO E PAREDE - DECK</t>
  </si>
  <si>
    <t>Piso imita madeira</t>
  </si>
  <si>
    <t>ACABAMENTOS EM PISO E PAREDE - VINILICO</t>
  </si>
  <si>
    <t>60% da da area + floreiras + diferença de esquadrias</t>
  </si>
  <si>
    <t>Muros em pedra</t>
  </si>
  <si>
    <t>Concreto-Viga retangular:20x60Concreto estrutural para vigas (Pilar ou Viga)</t>
  </si>
  <si>
    <t>12.2.1</t>
  </si>
  <si>
    <t>Viga</t>
  </si>
  <si>
    <t>12.2.</t>
  </si>
  <si>
    <t>Adaptador Soldavel com Anel para CxDagua - Fortlev:Standard</t>
  </si>
  <si>
    <t>12.1.1</t>
  </si>
  <si>
    <t>Conexão</t>
  </si>
  <si>
    <t>12.1.</t>
  </si>
  <si>
    <t>Outros</t>
  </si>
  <si>
    <t>12.</t>
  </si>
  <si>
    <t>_Produtos_Arq_Bib_Door_SL-45_NanaWall:Door_SL-45_NanaWall 700</t>
  </si>
  <si>
    <t>11.1.30</t>
  </si>
  <si>
    <t>_Produtos_Arq_Bib_Door_SL-45_NanaWall:Door_SL-45_NanaWall</t>
  </si>
  <si>
    <t>11.1.29</t>
  </si>
  <si>
    <t>PORTA DE ABRIR PARA DIVISÓRIAS- 1 FOLHA:80 x 211</t>
  </si>
  <si>
    <t>11.1.28</t>
  </si>
  <si>
    <t>JFSZ-Doors-M3-PortaVidroVP-BR-G3:JFSZ-Doors-M3-PortaVidroVP-BR-G3 2</t>
  </si>
  <si>
    <t>11.1.27</t>
  </si>
  <si>
    <t>JFSZ-Doors-M3-PortaVidroVP-BR-G3:JFSZ-Doors-M3-PortaVidroVP-BR-G3</t>
  </si>
  <si>
    <t>11.1.26</t>
  </si>
  <si>
    <t>JFSZ-Doors-M3-PortaPivotante-BR-G3:200 X220</t>
  </si>
  <si>
    <t>11.1.25</t>
  </si>
  <si>
    <t>JFSZ-Doors-M3-PortaPivotante-BR-G3:120 X220</t>
  </si>
  <si>
    <t>11.1.24</t>
  </si>
  <si>
    <t>JFSZ-Doors-M3-PortaJanelaCorrerR02-BR-G3:PJ03 - Porta Janela de Correr 2 Folhas (400x260)</t>
  </si>
  <si>
    <t>11.1.23</t>
  </si>
  <si>
    <t>JFSZ-Doors-M3-PortaJanelaCorrerR02-BR-G3:PJ03 - Porta Janela de Correr 2 Folhas (300x260)</t>
  </si>
  <si>
    <t>11.1.22</t>
  </si>
  <si>
    <t>JFSZ-Doors-M3-PortaJanelaCorrerR02-BR-G3:PJ03 - Porta Janela de Correr 2 Folhas (240x260)</t>
  </si>
  <si>
    <t>11.1.21</t>
  </si>
  <si>
    <t>JFSZ-Doors-M3-PortaJanelaCorrerR02-BR-G3:PJ03 - Porta Janela de Correr 2 Folhas (220x260)</t>
  </si>
  <si>
    <t>11.1.20</t>
  </si>
  <si>
    <t>JFSZ-Doors-M3-PortaJanelaCorrerR02-BR-G3:PJ03 - Porta Janela de Correr 2 Folhas (200x260) 2</t>
  </si>
  <si>
    <t>11.1.19</t>
  </si>
  <si>
    <t>JFSZ-Doors-M3-PortaJanelaCorrerR02-BR-G3:PJ03 - Porta Janela de Correr 2 Folhas (160x260)</t>
  </si>
  <si>
    <t>11.1.18</t>
  </si>
  <si>
    <t>JFSZ-Doors-M3-PortaGiroVeneziana-BR-G3:Porta de Giro Venezianado (90x210)</t>
  </si>
  <si>
    <t>11.1.17</t>
  </si>
  <si>
    <t>JFSZ-Doors-M3-PortaGiroVeneziana-BR-G3:Porta de Giro Venezianado (80x210)</t>
  </si>
  <si>
    <t>11.1.16</t>
  </si>
  <si>
    <t>JFSZ-Doors-M3-PortaGiroVeneziana-BR-G3:Porta de Giro Venezianado (180x210)</t>
  </si>
  <si>
    <t>11.1.15</t>
  </si>
  <si>
    <t>JFSZ-Doors-M3-PortaGiroVeneziana-BR-G3:Porta de Giro Venezianado (110xX)</t>
  </si>
  <si>
    <t>11.1.14</t>
  </si>
  <si>
    <t>JFSZ-Doors-M3-PortaGiro-BR-G3:Porta interna de giro PCD - Madeira 90x210</t>
  </si>
  <si>
    <t>11.1.13</t>
  </si>
  <si>
    <t>JFSZ-Doors-M3-PortaGiro-BR-G3:Porta interna de giro - Madeira 90x210</t>
  </si>
  <si>
    <t>11.1.12</t>
  </si>
  <si>
    <t>JFSZ-Doors-M3-PortaGiro-BR-G3:Porta interna de giro - Madeira 80x210</t>
  </si>
  <si>
    <t>11.1.11</t>
  </si>
  <si>
    <t>JFSZ-Doors-M3-PortaGiro-BR-G3:Porta interna de giro - Madeira 70x210</t>
  </si>
  <si>
    <t>11.1.10</t>
  </si>
  <si>
    <t>JFSZ-Doors-M3-PortaGiro-BR-G3:Porta interna de giro - Madeira 60x210</t>
  </si>
  <si>
    <t>11.1.9</t>
  </si>
  <si>
    <t>JFSZ-Doors-M3-PortaCortaFogo-BR-G3:Porta Corta Fogo 1 Folha com Barra Antipânico (80x210)</t>
  </si>
  <si>
    <t>11.1.8</t>
  </si>
  <si>
    <t>JFSZ-Doors-M3-PortaCorreVenezianada-BR-G3:80x210</t>
  </si>
  <si>
    <t>11.1.7</t>
  </si>
  <si>
    <t>JFSZ-Doors-M3-PortaCorrerR03-BR-G3:90x210</t>
  </si>
  <si>
    <t>11.1.6</t>
  </si>
  <si>
    <t>JFSZ-Doors-M3-PortaCorrerR03-BR-G3:80x210</t>
  </si>
  <si>
    <t>11.1.5</t>
  </si>
  <si>
    <t>JFSZ-Doors-M3-PortaCorrerR03-BR-G3:70x210</t>
  </si>
  <si>
    <t>11.1.4</t>
  </si>
  <si>
    <t>JFSZ-DoorsCurtainWall-M3-PortaVidroPivotante1Folha-BR-G3:Porta Pivotante de Vidro temperado</t>
  </si>
  <si>
    <t>11.1.3</t>
  </si>
  <si>
    <t>JFSZ-DoorsCurtainWall-M3-FolhaCorrer-BR-G3:Folha de vidro temperado 10mm de correr</t>
  </si>
  <si>
    <t>11.1.2</t>
  </si>
  <si>
    <t>JFSZ-CurtainWallDoors-M3-PortaoServicos-BR-G3:JFSZ-CurtainWallDoors-M3-PortaoServicos-BR-G3</t>
  </si>
  <si>
    <t>11.1.1</t>
  </si>
  <si>
    <t>Porta</t>
  </si>
  <si>
    <t>11.1.</t>
  </si>
  <si>
    <t>GERAL PORTAS</t>
  </si>
  <si>
    <t>11.</t>
  </si>
  <si>
    <t>System Panel:Vidro temperado 8mm</t>
  </si>
  <si>
    <t>10.1.2</t>
  </si>
  <si>
    <t>Painel do sistema:Envidraçado</t>
  </si>
  <si>
    <t>10.1.1</t>
  </si>
  <si>
    <t>Placa</t>
  </si>
  <si>
    <t>10.1.</t>
  </si>
  <si>
    <t>GERAL PLACAS</t>
  </si>
  <si>
    <t>10.</t>
  </si>
  <si>
    <t>Monolithic Landing:Moldado in loco - 150mm</t>
  </si>
  <si>
    <t>9.1.24</t>
  </si>
  <si>
    <t>Floor:Viga de borda de concreto (lançamento provisório)</t>
  </si>
  <si>
    <t>9.1.23</t>
  </si>
  <si>
    <t>Floor:Terra de plantio 60cm</t>
  </si>
  <si>
    <t>9.1.22</t>
  </si>
  <si>
    <t>Floor:Terra de plantio 30cm</t>
  </si>
  <si>
    <t>9.1.21</t>
  </si>
  <si>
    <t>Floor:Terra de plantio 10cm</t>
  </si>
  <si>
    <t>9.1.20</t>
  </si>
  <si>
    <t>Floor:REVEXPI - Pintura epoxi para pisos (a especificar)</t>
  </si>
  <si>
    <t>9.1.19</t>
  </si>
  <si>
    <t>Floor:Pingadeira de granito</t>
  </si>
  <si>
    <t>9.1.18</t>
  </si>
  <si>
    <t>Floor:PI_Grama 30</t>
  </si>
  <si>
    <t>9.1.17</t>
  </si>
  <si>
    <t>Floor:PI_Deck_esp8cm</t>
  </si>
  <si>
    <t>9.1.16</t>
  </si>
  <si>
    <t>Floor:PI_Deck_esp50cm</t>
  </si>
  <si>
    <t>9.1.15</t>
  </si>
  <si>
    <t>Floor:PI_CerInt_esp8cm</t>
  </si>
  <si>
    <t>9.1.14</t>
  </si>
  <si>
    <t>Floor:LA_Piscina_esp10cm</t>
  </si>
  <si>
    <t>9.1.13</t>
  </si>
  <si>
    <t>Floor:Laje de concreto nervurada COBERTURA</t>
  </si>
  <si>
    <t>9.1.12</t>
  </si>
  <si>
    <t>Floor:Laje de concreto nervurada</t>
  </si>
  <si>
    <t>9.1.11</t>
  </si>
  <si>
    <t>Floor:Laje de concreto maciça 20cm</t>
  </si>
  <si>
    <t>9.1.10</t>
  </si>
  <si>
    <t>Floor:Laje de concreto maciça 15cm</t>
  </si>
  <si>
    <t>9.1.9</t>
  </si>
  <si>
    <t>Floor:Laje de concreto maciça 10cm</t>
  </si>
  <si>
    <t>9.1.8</t>
  </si>
  <si>
    <t>Floor:Grade soldada industrial de aço galvanizado</t>
  </si>
  <si>
    <t>9.1.7</t>
  </si>
  <si>
    <t>Floor:Forração de argila expandida</t>
  </si>
  <si>
    <t>9.1.6</t>
  </si>
  <si>
    <t>Floor:Duto 110</t>
  </si>
  <si>
    <t>9.1.5</t>
  </si>
  <si>
    <t>Floor:CP14 - Impermeabilização e contrapiso nivelado 14cm</t>
  </si>
  <si>
    <t>9.1.4</t>
  </si>
  <si>
    <t>Floor:CP10 - Contrapiso nivelado 10cm</t>
  </si>
  <si>
    <t>9.1.3</t>
  </si>
  <si>
    <t>Floor:CP08 - Contrapiso nivelado 8cm</t>
  </si>
  <si>
    <t>9.1.2</t>
  </si>
  <si>
    <t>Floor:CP08 - Contrapiso de concreto 8CM</t>
  </si>
  <si>
    <t>9.1.1</t>
  </si>
  <si>
    <t>Laje</t>
  </si>
  <si>
    <t>9.1.</t>
  </si>
  <si>
    <t>GERAL PISOS</t>
  </si>
  <si>
    <t>9.</t>
  </si>
  <si>
    <t>Curtain Wall:PA_Vidro_Sem montantes</t>
  </si>
  <si>
    <t>8.1.7</t>
  </si>
  <si>
    <t>Curtain Wall:Janela 1 folha sem horizontal 2</t>
  </si>
  <si>
    <t>8.1.6</t>
  </si>
  <si>
    <t>Curtain Wall:Fechamento Aquecedores</t>
  </si>
  <si>
    <t>8.1.5</t>
  </si>
  <si>
    <t>Curtain Wall:Esquadria de alumínio com vidro temperado 8mm SEM GRIDS</t>
  </si>
  <si>
    <t>8.1.4</t>
  </si>
  <si>
    <t>Curtain Wall:Esquadria de alumínio com vidro temperado 8mm</t>
  </si>
  <si>
    <t>8.1.3</t>
  </si>
  <si>
    <t>Curtain Wall:Curtain Wall</t>
  </si>
  <si>
    <t>8.1.2</t>
  </si>
  <si>
    <t>Curtain Wall:BRISE</t>
  </si>
  <si>
    <t>8.1.1</t>
  </si>
  <si>
    <t>Parede de cortina</t>
  </si>
  <si>
    <t>8.1.</t>
  </si>
  <si>
    <t>GERAL PAREDE CORTINA</t>
  </si>
  <si>
    <t>8.</t>
  </si>
  <si>
    <t>Basic Wall:REVIN3060 - Rev. cerâmico 30x60 banheiros privativos</t>
  </si>
  <si>
    <t>7.1.18</t>
  </si>
  <si>
    <t>Basic Wall:REVIN3030 - Rev. cerâmico 30x30 banheiros</t>
  </si>
  <si>
    <t>7.1.17</t>
  </si>
  <si>
    <t>Basic Wall:REBEXT - Reboco externo 2,5cm</t>
  </si>
  <si>
    <t>7.1.16</t>
  </si>
  <si>
    <t>Basic Wall:REBEX - Reboco externo 25mm</t>
  </si>
  <si>
    <t>7.1.15</t>
  </si>
  <si>
    <t>Basic Wall:PAREDE - DIVISÓRIA BWC GRANITO</t>
  </si>
  <si>
    <t>7.1.14</t>
  </si>
  <si>
    <t>Basic Wall:CON30 - Parede de concreto 30cm</t>
  </si>
  <si>
    <t>7.1.13</t>
  </si>
  <si>
    <t>Basic Wall:CON20 - Parede de concreto 20cm</t>
  </si>
  <si>
    <t>7.1.12</t>
  </si>
  <si>
    <t>Basic Wall:CON20 - Parede de concreto 10</t>
  </si>
  <si>
    <t>7.1.11</t>
  </si>
  <si>
    <t>Basic Wall:CC_Con-CerPisc_esp15cm</t>
  </si>
  <si>
    <t>7.1.10</t>
  </si>
  <si>
    <t>Basic Wall:ALVIN25 - Alvenaria cerâmica 25cm (1,5+B9+4+B9+1,5)</t>
  </si>
  <si>
    <t>7.1.9</t>
  </si>
  <si>
    <t>Basic Wall:ALVIN17 - Alvenaria cerâmica 17cm (1,5+B14+1,5)</t>
  </si>
  <si>
    <t>7.1.8</t>
  </si>
  <si>
    <t>Basic Wall:ALVIN12 - Alvenaria cerâmica 12cm (1,5+B9+1,5)</t>
  </si>
  <si>
    <t>7.1.7</t>
  </si>
  <si>
    <t>Basic Wall:ALVIN10 - Alvenaria cerâmica 10,5cm (osso+B9+1,5)</t>
  </si>
  <si>
    <t>7.1.6</t>
  </si>
  <si>
    <t>Basic Wall:ALVEXEX19.5 - Alvenaria cerâmica 18cm (2,5+B14+2.5)</t>
  </si>
  <si>
    <t>7.1.5</t>
  </si>
  <si>
    <t>Basic Wall:ALVEX18.5 - Alvenaria cerâmica 18cm (2,5+B14+2.5)</t>
  </si>
  <si>
    <t>7.1.4</t>
  </si>
  <si>
    <t>Basic Wall:ALVEX18.5 - Alvenaria cerâmica 18cm (1,5+B14+2.5)</t>
  </si>
  <si>
    <t>7.1.3</t>
  </si>
  <si>
    <t>Basic Wall:ALVEX13.5 - Alvenaria cerâmica 13cm (1,5+B9+2.5)</t>
  </si>
  <si>
    <t>7.1.2</t>
  </si>
  <si>
    <t>Basic Wall:ALVEX10 - Alvenaria cerâmica 10,5cm (osso+B9+2,5)</t>
  </si>
  <si>
    <t>7.1.1</t>
  </si>
  <si>
    <t>Parede padrão</t>
  </si>
  <si>
    <t>7.1.</t>
  </si>
  <si>
    <t xml:space="preserve">GERAL PAREDE </t>
  </si>
  <si>
    <t>7.</t>
  </si>
  <si>
    <t>Rectangular Mullion:Montante de alumínio 12x5MM com pintura eletrostática preta 3</t>
  </si>
  <si>
    <t>6.1.6</t>
  </si>
  <si>
    <t>Rectangular Mullion:Montante de alumínio 12x4 com pintura eletrostática preta 2</t>
  </si>
  <si>
    <t>6.1.5</t>
  </si>
  <si>
    <t>Rectangular Mullion:Montante de alumínio 12x4 com pintura eletrostática preta</t>
  </si>
  <si>
    <t>6.1.4</t>
  </si>
  <si>
    <t>Montante retangular:5x10cm</t>
  </si>
  <si>
    <t>6.1.3</t>
  </si>
  <si>
    <t>Montante retangular:2x2cm Madeira</t>
  </si>
  <si>
    <t>6.1.2</t>
  </si>
  <si>
    <t>Montante retangular:2x2cm</t>
  </si>
  <si>
    <t>6.1.1</t>
  </si>
  <si>
    <t>Membro</t>
  </si>
  <si>
    <t>6.1.</t>
  </si>
  <si>
    <t>GERAL MEMBRO</t>
  </si>
  <si>
    <t>6.</t>
  </si>
  <si>
    <t>Non-Monolithic Run:Piso de 50 mm com espelho degrau de 13 mm</t>
  </si>
  <si>
    <t>5.1.2</t>
  </si>
  <si>
    <t>Monolithic Run:Moldado in loco - 150mm</t>
  </si>
  <si>
    <t>5.1.1</t>
  </si>
  <si>
    <t>Lance de escada</t>
  </si>
  <si>
    <t>5.1.</t>
  </si>
  <si>
    <t>GERAL LANCE ESCADAS</t>
  </si>
  <si>
    <t>5.</t>
  </si>
  <si>
    <t>Vertical_Brise_de_Soleil_Sun_Screen_4523:M_Brise_Soleil</t>
  </si>
  <si>
    <t>4.1.23</t>
  </si>
  <si>
    <t>JFZS-Windows-M3-MaximArMarcoDeGiro-BR-G3:MaximAr 1 folha com marco de giro 90x100</t>
  </si>
  <si>
    <t>4.1.22</t>
  </si>
  <si>
    <t>JFZS-Windows-M3-MaximArMarcoDeGiro-BR-G3:MaximAr 1 folha com marco de giro 65x100</t>
  </si>
  <si>
    <t>4.1.21</t>
  </si>
  <si>
    <t>JFZS-Windows-M3-MaximArMarcoDeGiro-BR-G3:MaximAr 1 folha com marco de giro 60x100</t>
  </si>
  <si>
    <t>4.1.20</t>
  </si>
  <si>
    <t>JFZS-Windows-M3-MaximArMarcoDeGiro-BR-G3:MaximAr 1 folha com marco de giro 40x100 2</t>
  </si>
  <si>
    <t>4.1.19</t>
  </si>
  <si>
    <t>JFZS-Windows-M3-MaximArMarcoDeGiro-BR-G3:MaximAr 1 folha com marco de giro 180x100</t>
  </si>
  <si>
    <t>4.1.18</t>
  </si>
  <si>
    <t>JFZS-Windows-M3-MaximArMarcoDeGiro-BR-G3:MaximAr 1 folha com bandeira inferior 80x200</t>
  </si>
  <si>
    <t>4.1.17</t>
  </si>
  <si>
    <t>JFZS-Windows-M3-MaximArMarcoDeGiro-BR-G3:MaximAr 1 folha (80x60)</t>
  </si>
  <si>
    <t>4.1.16</t>
  </si>
  <si>
    <t>JFZS-Windows-M3-MaximArMarcoDeGiro-BR-G3:MaximAr 1 folha (80x120)</t>
  </si>
  <si>
    <t>4.1.15</t>
  </si>
  <si>
    <t>JFZS-Windows-M3-MaximArMarcoDeGiro-BR-G3:MaximAr 1 folha (60X240)</t>
  </si>
  <si>
    <t>4.1.14</t>
  </si>
  <si>
    <t>JFZS-Windows-M3-MaximArMarcoDeGiro-BR-G3:MaximAr 1 folha (40x120)</t>
  </si>
  <si>
    <t>4.1.13</t>
  </si>
  <si>
    <t>JFZS-Windows-M3-MaximArMarcoDeGiro-BR-G3:MaximAr 1 folha (120x60)</t>
  </si>
  <si>
    <t>4.1.12</t>
  </si>
  <si>
    <t>JFSZ-Windows-M3-VisitaTecnica-BR-G3:Visita Técnica (60x60)</t>
  </si>
  <si>
    <t>4.1.11</t>
  </si>
  <si>
    <t>JFSZ-Windows-M3-JanelaCorrerR04-BR-G3:Janela de correr 2 folhas (120x120)</t>
  </si>
  <si>
    <t>4.1.10</t>
  </si>
  <si>
    <t>JFSZ-Windows-M3-JanelaCorrerR04-BR-G3:280</t>
  </si>
  <si>
    <t>4.1.9</t>
  </si>
  <si>
    <t>JFSZ-Windows-M3-JanelaCorrerR04-BR-G3:240xx 2</t>
  </si>
  <si>
    <t>4.1.8</t>
  </si>
  <si>
    <t>JFSZ-Windows-M3-JanelaCorrerR04-BR-G3:240x200</t>
  </si>
  <si>
    <t>4.1.7</t>
  </si>
  <si>
    <t>JFSZ-Windows-M3-JanelaCorrerR04-BR-G3:200x200</t>
  </si>
  <si>
    <t>4.1.6</t>
  </si>
  <si>
    <t>JFSZ-Windows-M3-JanelaCorrerR04-BR-G3:180</t>
  </si>
  <si>
    <t>4.1.5</t>
  </si>
  <si>
    <t>JFSZ-Windows-M3-AberturaChurrasqueira:Acabamento em granito para churrasqueira (80x60)</t>
  </si>
  <si>
    <t>4.1.4</t>
  </si>
  <si>
    <t>JFSZ-Windows-M3-AberturaChurrasqueira:Acabamento em granito para churrasqueira (60x60)</t>
  </si>
  <si>
    <t>4.1.3</t>
  </si>
  <si>
    <t>JFSZ-Windows-M3-AberturaChurrasqueira:Acabamento em granito para churrasqueira (60x50)</t>
  </si>
  <si>
    <t>4.1.2</t>
  </si>
  <si>
    <t>JFSZ-Windos-M3-Domus-BR-G3:JFSZ-Windos-M3-Domus-BR-G3</t>
  </si>
  <si>
    <t>4.1.1</t>
  </si>
  <si>
    <t>Janela</t>
  </si>
  <si>
    <t>4.1.</t>
  </si>
  <si>
    <t>GERAL JANELAS</t>
  </si>
  <si>
    <t>4.</t>
  </si>
  <si>
    <t>Compound Ceiling:FO_Madeira</t>
  </si>
  <si>
    <t>3.1.1</t>
  </si>
  <si>
    <t>3.1.</t>
  </si>
  <si>
    <t>GERAL FORRO</t>
  </si>
  <si>
    <t>3.</t>
  </si>
  <si>
    <t>Cast-In-Place Stair:Escada Concreto</t>
  </si>
  <si>
    <t>2.1.2</t>
  </si>
  <si>
    <t>Assembled Stair:Cascata</t>
  </si>
  <si>
    <t>2.1.1</t>
  </si>
  <si>
    <t>Escada</t>
  </si>
  <si>
    <t>2.1.</t>
  </si>
  <si>
    <t>GERAL ESCADAS</t>
  </si>
  <si>
    <t>2.</t>
  </si>
  <si>
    <t>Railing:Guarda-corpo Sacadas</t>
  </si>
  <si>
    <t>1.1.2</t>
  </si>
  <si>
    <t>Railing:Guarda-corpo cobertura</t>
  </si>
  <si>
    <t>1.1.1</t>
  </si>
  <si>
    <t>Corrimão</t>
  </si>
  <si>
    <t>1.1.</t>
  </si>
  <si>
    <t>GERAL CORRIMAO</t>
  </si>
  <si>
    <t>1.</t>
  </si>
  <si>
    <t>Unid.</t>
  </si>
  <si>
    <t>Item</t>
  </si>
  <si>
    <t>QUANTITATIVOS</t>
  </si>
  <si>
    <t/>
  </si>
  <si>
    <t>Endereço</t>
  </si>
  <si>
    <t>Cidade</t>
  </si>
  <si>
    <t>QUANTITATIVO</t>
  </si>
  <si>
    <t>Titulo</t>
  </si>
  <si>
    <t>DADOS</t>
  </si>
  <si>
    <t>m2</t>
  </si>
  <si>
    <t>LAZER</t>
  </si>
  <si>
    <t>GUARDA</t>
  </si>
  <si>
    <t>Pintura Interna Tetos</t>
  </si>
  <si>
    <t>Textura Teto</t>
  </si>
  <si>
    <t xml:space="preserve">Alvenaria </t>
  </si>
  <si>
    <t>un / Compr muro</t>
  </si>
  <si>
    <t>Parede de fechamento</t>
  </si>
  <si>
    <t>Viga de coroamento</t>
  </si>
  <si>
    <t>Tirantes</t>
  </si>
  <si>
    <t>R$ / m</t>
  </si>
  <si>
    <t>um/m²</t>
  </si>
  <si>
    <t>Placa EPS</t>
  </si>
  <si>
    <t>Forro gesso mineral</t>
  </si>
  <si>
    <t>MO REGULARIZAÇÃO</t>
  </si>
  <si>
    <t>MO PROT MECANICA</t>
  </si>
  <si>
    <t>MO IMPERM POÇO</t>
  </si>
  <si>
    <t>MO BALDRAMES</t>
  </si>
  <si>
    <t>MO CIMENTICIA</t>
  </si>
  <si>
    <t>MO MANTA</t>
  </si>
  <si>
    <t>mo Reboco</t>
  </si>
  <si>
    <t>mo REBOCO</t>
  </si>
  <si>
    <t>MO CONTRAPISO</t>
  </si>
  <si>
    <t>MO ALISADO</t>
  </si>
  <si>
    <t>mo Estucamento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</si>
</sst>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Roboto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121212"/>
        <bgColor rgb="FF121212"/>
      </patternFill>
    </fill>
    <fill>
      <patternFill patternType="solid">
        <fgColor rgb="FFFC3400"/>
        <bgColor rgb="FFFC3400"/>
      </patternFill>
    </fill>
    <fill>
      <patternFill patternType="solid">
        <fgColor rgb="FFF6F4F6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800080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8" fillId="0" borderId="0"/>
    <xf numFmtId="9" fontId="2" fillId="0" borderId="0"/>
  </cellStyleXfs>
  <cellXfs count="34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43" fontId="3" fillId="0" borderId="71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43" fontId="3" fillId="0" borderId="39" xfId="0" applyNumberFormat="1" applyFont="1" applyBorder="1" applyAlignment="1">
      <alignment vertical="center"/>
    </xf>
    <xf numFmtId="0" fontId="38" fillId="0" borderId="0" xfId="11"/>
    <xf numFmtId="0" fontId="39" fillId="14" borderId="0" xfId="11" applyFont="1" applyFill="1"/>
    <xf numFmtId="0" fontId="39" fillId="14" borderId="83" xfId="11" applyFont="1" applyFill="1" applyBorder="1"/>
    <xf numFmtId="0" fontId="39" fillId="0" borderId="84" xfId="11" applyFont="1" applyBorder="1"/>
    <xf numFmtId="0" fontId="39" fillId="0" borderId="85" xfId="11" applyFont="1" applyBorder="1"/>
    <xf numFmtId="0" fontId="39" fillId="0" borderId="86" xfId="11" applyFont="1" applyBorder="1"/>
    <xf numFmtId="0" fontId="39" fillId="12" borderId="86" xfId="11" applyFont="1" applyFill="1" applyBorder="1"/>
    <xf numFmtId="0" fontId="39" fillId="12" borderId="85" xfId="11" applyFont="1" applyFill="1" applyBorder="1"/>
    <xf numFmtId="0" fontId="39" fillId="14" borderId="87" xfId="11" applyFont="1" applyFill="1" applyBorder="1"/>
    <xf numFmtId="2" fontId="39" fillId="0" borderId="84" xfId="11" applyNumberFormat="1" applyFont="1" applyBorder="1"/>
    <xf numFmtId="0" fontId="39" fillId="0" borderId="88" xfId="11" applyFont="1" applyBorder="1"/>
    <xf numFmtId="0" fontId="39" fillId="0" borderId="89" xfId="11" applyFont="1" applyBorder="1"/>
    <xf numFmtId="0" fontId="5" fillId="15" borderId="90" xfId="11" applyFont="1" applyFill="1" applyBorder="1" applyAlignment="1">
      <alignment horizontal="center" vertical="center"/>
    </xf>
    <xf numFmtId="0" fontId="5" fillId="15" borderId="91" xfId="11" applyFont="1" applyFill="1" applyBorder="1" applyAlignment="1">
      <alignment horizontal="center" vertical="center"/>
    </xf>
    <xf numFmtId="2" fontId="39" fillId="0" borderId="94" xfId="11" applyNumberFormat="1" applyFont="1" applyBorder="1"/>
    <xf numFmtId="0" fontId="39" fillId="0" borderId="95" xfId="11" applyFont="1" applyBorder="1"/>
    <xf numFmtId="0" fontId="39" fillId="12" borderId="95" xfId="11" applyFont="1" applyFill="1" applyBorder="1"/>
    <xf numFmtId="0" fontId="39" fillId="12" borderId="96" xfId="11" applyFont="1" applyFill="1" applyBorder="1"/>
    <xf numFmtId="0" fontId="5" fillId="15" borderId="97" xfId="11" applyFont="1" applyFill="1" applyBorder="1" applyAlignment="1">
      <alignment horizontal="center" vertical="center"/>
    </xf>
    <xf numFmtId="0" fontId="5" fillId="15" borderId="98" xfId="11" applyFont="1" applyFill="1" applyBorder="1" applyAlignment="1">
      <alignment horizontal="center"/>
    </xf>
    <xf numFmtId="0" fontId="39" fillId="14" borderId="100" xfId="11" applyFont="1" applyFill="1" applyBorder="1"/>
    <xf numFmtId="0" fontId="16" fillId="14" borderId="64" xfId="11" applyFont="1" applyFill="1" applyBorder="1" applyAlignment="1">
      <alignment horizontal="left" vertical="center" wrapText="1"/>
    </xf>
    <xf numFmtId="14" fontId="39" fillId="0" borderId="101" xfId="11" applyNumberFormat="1" applyFont="1" applyBorder="1"/>
    <xf numFmtId="0" fontId="9" fillId="12" borderId="102" xfId="11" applyFont="1" applyFill="1" applyBorder="1" applyAlignment="1">
      <alignment vertical="center" wrapText="1"/>
    </xf>
    <xf numFmtId="0" fontId="39" fillId="14" borderId="64" xfId="11" applyFont="1" applyFill="1" applyBorder="1"/>
    <xf numFmtId="0" fontId="40" fillId="0" borderId="61" xfId="11" applyFont="1" applyBorder="1"/>
    <xf numFmtId="0" fontId="9" fillId="12" borderId="103" xfId="11" applyFont="1" applyFill="1" applyBorder="1" applyAlignment="1">
      <alignment vertical="center" wrapText="1"/>
    </xf>
    <xf numFmtId="0" fontId="39" fillId="14" borderId="104" xfId="11" applyFont="1" applyFill="1" applyBorder="1"/>
    <xf numFmtId="0" fontId="39" fillId="14" borderId="105" xfId="11" applyFont="1" applyFill="1" applyBorder="1"/>
    <xf numFmtId="0" fontId="16" fillId="14" borderId="105" xfId="11" applyFont="1" applyFill="1" applyBorder="1" applyAlignment="1">
      <alignment horizontal="left" vertical="center" wrapText="1"/>
    </xf>
    <xf numFmtId="0" fontId="40" fillId="0" borderId="106" xfId="11" applyFont="1" applyBorder="1"/>
    <xf numFmtId="0" fontId="9" fillId="12" borderId="91" xfId="11" applyFont="1" applyFill="1" applyBorder="1" applyAlignment="1">
      <alignment vertical="center" wrapText="1"/>
    </xf>
    <xf numFmtId="43" fontId="10" fillId="0" borderId="1" xfId="1" applyFont="1" applyFill="1" applyBorder="1" applyAlignment="1">
      <alignment vertical="center" wrapText="1"/>
    </xf>
    <xf numFmtId="44" fontId="26" fillId="0" borderId="1" xfId="10" applyFont="1" applyBorder="1" applyAlignment="1">
      <alignment horizontal="center" vertical="center" wrapText="1"/>
    </xf>
    <xf numFmtId="44" fontId="26" fillId="0" borderId="1" xfId="10" applyFont="1" applyBorder="1" applyAlignment="1">
      <alignment vertical="center" wrapText="1"/>
    </xf>
    <xf numFmtId="44" fontId="10" fillId="0" borderId="1" xfId="10" applyFont="1" applyFill="1" applyBorder="1" applyAlignment="1">
      <alignment vertical="center" wrapText="1"/>
    </xf>
    <xf numFmtId="2" fontId="39" fillId="0" borderId="88" xfId="11" applyNumberFormat="1" applyFont="1" applyBorder="1"/>
    <xf numFmtId="166" fontId="4" fillId="0" borderId="71" xfId="1" applyNumberFormat="1" applyFont="1" applyBorder="1" applyAlignment="1">
      <alignment horizontal="center" vertical="center"/>
    </xf>
    <xf numFmtId="43" fontId="3" fillId="0" borderId="72" xfId="1" applyFont="1" applyFill="1" applyBorder="1" applyAlignment="1">
      <alignment horizontal="center" vertical="center" wrapText="1"/>
    </xf>
    <xf numFmtId="43" fontId="29" fillId="0" borderId="72" xfId="1" applyFont="1" applyFill="1" applyBorder="1" applyAlignment="1">
      <alignment horizontal="center" vertical="center" wrapText="1"/>
    </xf>
    <xf numFmtId="44" fontId="26" fillId="0" borderId="1" xfId="10" applyFont="1" applyFill="1" applyBorder="1" applyAlignment="1">
      <alignment horizontal="center" vertical="center" wrapText="1"/>
    </xf>
    <xf numFmtId="0" fontId="39" fillId="0" borderId="87" xfId="11" applyFont="1" applyBorder="1"/>
    <xf numFmtId="0" fontId="39" fillId="0" borderId="83" xfId="11" applyFont="1" applyBorder="1"/>
    <xf numFmtId="2" fontId="19" fillId="0" borderId="0" xfId="0" applyNumberFormat="1" applyFont="1" applyAlignment="1">
      <alignment vertical="center"/>
    </xf>
    <xf numFmtId="43" fontId="3" fillId="0" borderId="82" xfId="1" applyFont="1" applyBorder="1" applyAlignment="1">
      <alignment horizontal="center" vertical="center" wrapText="1"/>
    </xf>
    <xf numFmtId="43" fontId="19" fillId="0" borderId="0" xfId="0" applyNumberFormat="1" applyFont="1" applyAlignment="1">
      <alignment vertical="center"/>
    </xf>
    <xf numFmtId="0" fontId="2" fillId="0" borderId="0" xfId="2"/>
    <xf numFmtId="0" fontId="2" fillId="0" borderId="0" xfId="2" applyAlignment="1">
      <alignment horizontal="center" vertical="center"/>
    </xf>
    <xf numFmtId="0" fontId="2" fillId="0" borderId="0" xfId="2" applyAlignment="1">
      <alignment horizontal="center"/>
    </xf>
    <xf numFmtId="2" fontId="2" fillId="19" borderId="107" xfId="2" applyNumberFormat="1" applyFill="1" applyBorder="1" applyAlignment="1">
      <alignment horizontal="center" vertical="center"/>
    </xf>
    <xf numFmtId="1" fontId="2" fillId="19" borderId="107" xfId="2" applyNumberFormat="1" applyFill="1" applyBorder="1" applyAlignment="1">
      <alignment horizontal="center" vertical="center"/>
    </xf>
    <xf numFmtId="0" fontId="2" fillId="19" borderId="107" xfId="2" applyFill="1" applyBorder="1" applyAlignment="1">
      <alignment horizontal="left" vertical="center" wrapText="1"/>
    </xf>
    <xf numFmtId="0" fontId="2" fillId="19" borderId="107" xfId="2" applyFill="1" applyBorder="1" applyAlignment="1">
      <alignment horizontal="left" vertical="center"/>
    </xf>
    <xf numFmtId="2" fontId="2" fillId="20" borderId="107" xfId="2" applyNumberFormat="1" applyFill="1" applyBorder="1" applyAlignment="1">
      <alignment horizontal="center" vertical="center"/>
    </xf>
    <xf numFmtId="1" fontId="2" fillId="20" borderId="107" xfId="2" applyNumberFormat="1" applyFill="1" applyBorder="1" applyAlignment="1">
      <alignment horizontal="center" vertical="center"/>
    </xf>
    <xf numFmtId="0" fontId="2" fillId="20" borderId="107" xfId="2" applyFill="1" applyBorder="1" applyAlignment="1">
      <alignment horizontal="left" vertical="center" wrapText="1"/>
    </xf>
    <xf numFmtId="0" fontId="2" fillId="20" borderId="107" xfId="2" applyFill="1" applyBorder="1" applyAlignment="1">
      <alignment horizontal="left" vertical="center"/>
    </xf>
    <xf numFmtId="2" fontId="2" fillId="2" borderId="107" xfId="2" applyNumberFormat="1" applyFill="1" applyBorder="1" applyAlignment="1">
      <alignment horizontal="center" vertical="center"/>
    </xf>
    <xf numFmtId="1" fontId="2" fillId="2" borderId="107" xfId="2" applyNumberFormat="1" applyFill="1" applyBorder="1" applyAlignment="1">
      <alignment horizontal="center" vertical="center"/>
    </xf>
    <xf numFmtId="0" fontId="2" fillId="2" borderId="107" xfId="2" applyFill="1" applyBorder="1" applyAlignment="1">
      <alignment horizontal="left" vertical="center" wrapText="1"/>
    </xf>
    <xf numFmtId="0" fontId="2" fillId="2" borderId="107" xfId="2" applyFill="1" applyBorder="1" applyAlignment="1">
      <alignment horizontal="left" vertical="center"/>
    </xf>
    <xf numFmtId="2" fontId="2" fillId="21" borderId="108" xfId="2" applyNumberFormat="1" applyFill="1" applyBorder="1" applyAlignment="1">
      <alignment horizontal="center" vertical="center"/>
    </xf>
    <xf numFmtId="1" fontId="2" fillId="21" borderId="108" xfId="2" applyNumberFormat="1" applyFill="1" applyBorder="1" applyAlignment="1">
      <alignment horizontal="center" vertical="center"/>
    </xf>
    <xf numFmtId="0" fontId="2" fillId="21" borderId="108" xfId="2" applyFill="1" applyBorder="1" applyAlignment="1">
      <alignment horizontal="left" vertical="center" wrapText="1"/>
    </xf>
    <xf numFmtId="0" fontId="2" fillId="21" borderId="108" xfId="2" applyFill="1" applyBorder="1" applyAlignment="1">
      <alignment horizontal="left" vertical="center"/>
    </xf>
    <xf numFmtId="0" fontId="2" fillId="0" borderId="111" xfId="2" applyBorder="1"/>
    <xf numFmtId="0" fontId="44" fillId="2" borderId="112" xfId="2" applyFont="1" applyFill="1" applyBorder="1" applyAlignment="1">
      <alignment horizontal="center" vertical="center"/>
    </xf>
    <xf numFmtId="0" fontId="44" fillId="2" borderId="113" xfId="2" applyFont="1" applyFill="1" applyBorder="1" applyAlignment="1">
      <alignment horizontal="center"/>
    </xf>
    <xf numFmtId="0" fontId="2" fillId="2" borderId="114" xfId="2" applyFill="1" applyBorder="1"/>
    <xf numFmtId="0" fontId="44" fillId="2" borderId="115" xfId="2" applyFont="1" applyFill="1" applyBorder="1"/>
    <xf numFmtId="0" fontId="44" fillId="2" borderId="116" xfId="2" applyFont="1" applyFill="1" applyBorder="1" applyAlignment="1">
      <alignment horizontal="center" vertical="center"/>
    </xf>
    <xf numFmtId="0" fontId="44" fillId="2" borderId="117" xfId="2" applyFont="1" applyFill="1" applyBorder="1" applyAlignment="1">
      <alignment horizontal="center"/>
    </xf>
    <xf numFmtId="0" fontId="2" fillId="2" borderId="116" xfId="2" applyFill="1" applyBorder="1" applyAlignment="1">
      <alignment horizontal="center" vertical="center"/>
    </xf>
    <xf numFmtId="0" fontId="2" fillId="2" borderId="117" xfId="2" applyFill="1" applyBorder="1" applyAlignment="1">
      <alignment horizontal="center"/>
    </xf>
    <xf numFmtId="0" fontId="2" fillId="2" borderId="118" xfId="2" applyFill="1" applyBorder="1" applyAlignment="1">
      <alignment horizontal="center" vertical="center"/>
    </xf>
    <xf numFmtId="0" fontId="44" fillId="2" borderId="119" xfId="2" applyFont="1" applyFill="1" applyBorder="1" applyAlignment="1">
      <alignment horizontal="center"/>
    </xf>
    <xf numFmtId="9" fontId="0" fillId="2" borderId="120" xfId="12" applyFont="1" applyFill="1" applyBorder="1" applyAlignment="1">
      <alignment horizontal="center" vertical="center"/>
    </xf>
    <xf numFmtId="0" fontId="44" fillId="2" borderId="121" xfId="2" applyFont="1" applyFill="1" applyBorder="1" applyAlignment="1">
      <alignment horizontal="center"/>
    </xf>
    <xf numFmtId="43" fontId="46" fillId="0" borderId="0" xfId="1" applyFont="1" applyAlignment="1">
      <alignment vertical="center"/>
    </xf>
    <xf numFmtId="43" fontId="46" fillId="0" borderId="0" xfId="1" applyFont="1" applyAlignment="1">
      <alignment horizontal="right" vertical="center"/>
    </xf>
    <xf numFmtId="43" fontId="18" fillId="0" borderId="0" xfId="0" applyNumberFormat="1" applyFont="1" applyAlignment="1">
      <alignment vertical="center"/>
    </xf>
    <xf numFmtId="2" fontId="0" fillId="0" borderId="0" xfId="0" applyNumberFormat="1"/>
    <xf numFmtId="10" fontId="3" fillId="0" borderId="0" xfId="6" applyNumberFormat="1" applyFont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45" fillId="22" borderId="81" xfId="2" applyFont="1" applyFill="1" applyBorder="1" applyAlignment="1">
      <alignment horizontal="center" vertical="center"/>
    </xf>
    <xf numFmtId="0" fontId="45" fillId="22" borderId="0" xfId="2" applyFont="1" applyFill="1" applyAlignment="1">
      <alignment horizontal="center" vertical="center"/>
    </xf>
    <xf numFmtId="0" fontId="44" fillId="2" borderId="1" xfId="2" applyFont="1" applyFill="1" applyBorder="1" applyAlignment="1">
      <alignment horizontal="center" vertical="center"/>
    </xf>
    <xf numFmtId="0" fontId="45" fillId="22" borderId="79" xfId="2" applyFont="1" applyFill="1" applyBorder="1" applyAlignment="1">
      <alignment horizontal="center" vertical="center"/>
    </xf>
    <xf numFmtId="0" fontId="45" fillId="22" borderId="33" xfId="2" applyFont="1" applyFill="1" applyBorder="1" applyAlignment="1">
      <alignment horizontal="center" vertical="center"/>
    </xf>
    <xf numFmtId="0" fontId="44" fillId="2" borderId="110" xfId="2" applyFont="1" applyFill="1" applyBorder="1" applyAlignment="1">
      <alignment horizontal="center"/>
    </xf>
    <xf numFmtId="0" fontId="44" fillId="2" borderId="0" xfId="2" applyFont="1" applyFill="1" applyAlignment="1">
      <alignment horizontal="center"/>
    </xf>
    <xf numFmtId="0" fontId="44" fillId="2" borderId="109" xfId="2" applyFont="1" applyFill="1" applyBorder="1" applyAlignment="1">
      <alignment horizontal="center"/>
    </xf>
    <xf numFmtId="0" fontId="11" fillId="18" borderId="87" xfId="11" applyFont="1" applyFill="1" applyBorder="1" applyAlignment="1">
      <alignment horizontal="center" vertical="center" wrapText="1"/>
    </xf>
    <xf numFmtId="0" fontId="41" fillId="0" borderId="0" xfId="11" applyFont="1"/>
    <xf numFmtId="0" fontId="41" fillId="0" borderId="83" xfId="11" applyFont="1" applyBorder="1"/>
    <xf numFmtId="0" fontId="11" fillId="17" borderId="87" xfId="11" applyFont="1" applyFill="1" applyBorder="1" applyAlignment="1">
      <alignment horizontal="center" vertical="center" wrapText="1"/>
    </xf>
    <xf numFmtId="0" fontId="42" fillId="16" borderId="93" xfId="11" applyFont="1" applyFill="1" applyBorder="1" applyAlignment="1">
      <alignment horizontal="center"/>
    </xf>
    <xf numFmtId="0" fontId="41" fillId="0" borderId="99" xfId="11" applyFont="1" applyBorder="1"/>
    <xf numFmtId="0" fontId="41" fillId="0" borderId="92" xfId="11" applyFont="1" applyBorder="1"/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28" fillId="10" borderId="78" xfId="0" applyFont="1" applyFill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13" borderId="74" xfId="0" applyFont="1" applyFill="1" applyBorder="1" applyAlignment="1">
      <alignment horizontal="left" vertical="center" wrapText="1"/>
    </xf>
    <xf numFmtId="43" fontId="3" fillId="13" borderId="72" xfId="1" applyFont="1" applyFill="1" applyBorder="1" applyAlignment="1">
      <alignment horizontal="center" vertical="center" wrapText="1"/>
    </xf>
    <xf numFmtId="43" fontId="3" fillId="13" borderId="71" xfId="1" applyFont="1" applyFill="1" applyBorder="1" applyAlignment="1">
      <alignment horizontal="center" vertical="center" wrapText="1"/>
    </xf>
    <xf numFmtId="166" fontId="3" fillId="13" borderId="71" xfId="1" applyNumberFormat="1" applyFont="1" applyFill="1" applyBorder="1" applyAlignment="1">
      <alignment horizontal="center" vertical="center"/>
    </xf>
    <xf numFmtId="0" fontId="3" fillId="13" borderId="46" xfId="0" applyFont="1" applyFill="1" applyBorder="1" applyAlignment="1">
      <alignment horizontal="center" vertical="center"/>
    </xf>
    <xf numFmtId="0" fontId="3" fillId="13" borderId="70" xfId="0" applyFont="1" applyFill="1" applyBorder="1" applyAlignment="1">
      <alignment horizontal="center" vertical="center" wrapText="1"/>
    </xf>
    <xf numFmtId="43" fontId="3" fillId="13" borderId="44" xfId="1" applyFont="1" applyFill="1" applyBorder="1" applyAlignment="1">
      <alignment horizontal="center" vertical="center"/>
    </xf>
  </cellXfs>
  <cellStyles count="13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4" xfId="11" xr:uid="{D74BDD3A-FAE7-462F-A1F7-AD8D3775B668}"/>
    <cellStyle name="Normal 7" xfId="5" xr:uid="{B5D56057-44D1-4A2B-9814-263CBEA5E92D}"/>
    <cellStyle name="Porcentagem" xfId="6" builtinId="5"/>
    <cellStyle name="Porcentagem 2" xfId="12" xr:uid="{0CF89817-ACA2-4BC3-B654-13E67BD33FF2}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6"/>
          <bgColor theme="6"/>
        </patternFill>
      </fill>
    </dxf>
  </dxfs>
  <tableStyles count="1" defaultTableStyle="TableStyleMedium2" defaultPivotStyle="PivotStyleLight16">
    <tableStyle name="PISO-style" pivot="0" count="3" xr9:uid="{5931D982-F9E3-4AFC-89BB-E173BD6A8484}">
      <tableStyleElement type="headerRow" dxfId="3"/>
      <tableStyleElement type="firstRowStripe" dxfId="2"/>
      <tableStyleElement type="secondRowStripe" dxfId="1"/>
    </tableStyle>
  </tableStyles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6</xdr:col>
      <xdr:colOff>585440</xdr:colOff>
      <xdr:row>6</xdr:row>
      <xdr:rowOff>176561</xdr:rowOff>
    </xdr:from>
    <xdr:to>
      <xdr:col>17</xdr:col>
      <xdr:colOff>193012</xdr:colOff>
      <xdr:row>16</xdr:row>
      <xdr:rowOff>111379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317BF41-CD77-4DB9-86B2-A2A3B889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4269" y="1607634"/>
          <a:ext cx="7339084" cy="2703573"/>
        </a:xfrm>
        <a:prstGeom prst="rect">
          <a:avLst/>
        </a:prstGeom>
      </xdr:spPr>
    </xdr:pic>
    <xdr:clientData/>
  </xdr:twoCellAnchor>
  <xdr:twoCellAnchor editAs="oneCell">
    <xdr:from>
      <xdr:col>6</xdr:col>
      <xdr:colOff>929268</xdr:colOff>
      <xdr:row>17</xdr:row>
      <xdr:rowOff>9292</xdr:rowOff>
    </xdr:from>
    <xdr:to>
      <xdr:col>15</xdr:col>
      <xdr:colOff>113514</xdr:colOff>
      <xdr:row>24</xdr:row>
      <xdr:rowOff>147905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DAEDE0-DB2E-4AF8-9772-35BD11AA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8097" y="4506951"/>
          <a:ext cx="5689124" cy="2090076"/>
        </a:xfrm>
        <a:prstGeom prst="rect">
          <a:avLst/>
        </a:prstGeom>
      </xdr:spPr>
    </xdr:pic>
    <xdr:clientData/>
  </xdr:twoCellAnchor>
  <xdr:twoCellAnchor editAs="oneCell">
    <xdr:from>
      <xdr:col>6</xdr:col>
      <xdr:colOff>882805</xdr:colOff>
      <xdr:row>24</xdr:row>
      <xdr:rowOff>232317</xdr:rowOff>
    </xdr:from>
    <xdr:to>
      <xdr:col>15</xdr:col>
      <xdr:colOff>339502</xdr:colOff>
      <xdr:row>30</xdr:row>
      <xdr:rowOff>225304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5FF06D4-FD77-4631-ABA8-F5BDCF018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1634" y="6681439"/>
          <a:ext cx="5948240" cy="16842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410472</xdr:colOff>
      <xdr:row>4</xdr:row>
      <xdr:rowOff>123736</xdr:rowOff>
    </xdr:from>
    <xdr:to>
      <xdr:col>11</xdr:col>
      <xdr:colOff>224050</xdr:colOff>
      <xdr:row>10</xdr:row>
      <xdr:rowOff>263214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EF880F-0F01-4FD7-8E00-2609B538C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8166" y="1477407"/>
          <a:ext cx="2236738" cy="20323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571836</xdr:colOff>
      <xdr:row>12</xdr:row>
      <xdr:rowOff>129316</xdr:rowOff>
    </xdr:from>
    <xdr:to>
      <xdr:col>16</xdr:col>
      <xdr:colOff>568578</xdr:colOff>
      <xdr:row>21</xdr:row>
      <xdr:rowOff>339461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0F2648A-D425-4A94-B0D6-E53F4C056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29530" y="3661410"/>
          <a:ext cx="5483142" cy="3214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331695</xdr:colOff>
      <xdr:row>1</xdr:row>
      <xdr:rowOff>134472</xdr:rowOff>
    </xdr:from>
    <xdr:ext cx="701487" cy="773764"/>
    <xdr:pic>
      <xdr:nvPicPr>
        <xdr:cNvPr id="2" name="Imagem 1">
          <a:extLst>
            <a:ext uri="{FF2B5EF4-FFF2-40B4-BE49-F238E27FC236}">
              <a16:creationId xmlns:a16="http://schemas.microsoft.com/office/drawing/2014/main" id="{4316E52E-5358-477D-A81B-B6EE64761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4745" y="296397"/>
          <a:ext cx="701487" cy="77376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209550</xdr:colOff>
      <xdr:row>0</xdr:row>
      <xdr:rowOff>180975</xdr:rowOff>
    </xdr:from>
    <xdr:ext cx="1381125" cy="228600"/>
    <xdr:pic>
      <xdr:nvPicPr>
        <xdr:cNvPr id="2" name="image1.png">
          <a:extLst>
            <a:ext uri="{FF2B5EF4-FFF2-40B4-BE49-F238E27FC236}">
              <a16:creationId xmlns:a16="http://schemas.microsoft.com/office/drawing/2014/main" id="{645001A5-0D05-4276-BB8D-67EDE72372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34800" y="182880"/>
          <a:ext cx="1381125" cy="228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15</xdr:col>
      <xdr:colOff>428791</xdr:colOff>
      <xdr:row>51</xdr:row>
      <xdr:rowOff>108138</xdr:rowOff>
    </xdr:from>
    <xdr:to>
      <xdr:col>25</xdr:col>
      <xdr:colOff>796876</xdr:colOff>
      <xdr:row>73</xdr:row>
      <xdr:rowOff>33905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6699AB8-3C38-4131-B44F-C97232EAA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62791" y="9969964"/>
          <a:ext cx="6099264" cy="4048408"/>
        </a:xfrm>
        <a:prstGeom prst="rect">
          <a:avLst/>
        </a:prstGeom>
      </xdr:spPr>
    </xdr:pic>
    <xdr:clientData/>
  </xdr:twoCellAnchor>
  <xdr:twoCellAnchor editAs="oneCell">
    <xdr:from>
      <xdr:col>15</xdr:col>
      <xdr:colOff>496394</xdr:colOff>
      <xdr:row>176</xdr:row>
      <xdr:rowOff>146309</xdr:rowOff>
    </xdr:from>
    <xdr:to>
      <xdr:col>26</xdr:col>
      <xdr:colOff>834988</xdr:colOff>
      <xdr:row>195</xdr:row>
      <xdr:rowOff>148038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E8E11F-5D44-406A-8C4C-8DC65AE14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24990" y="33098756"/>
          <a:ext cx="7050679" cy="35270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528017</xdr:colOff>
      <xdr:row>25</xdr:row>
      <xdr:rowOff>46892</xdr:rowOff>
    </xdr:from>
    <xdr:to>
      <xdr:col>25</xdr:col>
      <xdr:colOff>72185</xdr:colOff>
      <xdr:row>39</xdr:row>
      <xdr:rowOff>110818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69BFFC-1F08-4628-B860-7CFEB37C7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2202" y="4498794"/>
          <a:ext cx="10577762" cy="27849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2C461250-C95C-460B-BA60-B5D203FBBA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2166" y="229433"/>
          <a:ext cx="1428750" cy="276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548722</xdr:colOff>
      <xdr:row>23</xdr:row>
      <xdr:rowOff>88305</xdr:rowOff>
    </xdr:from>
    <xdr:to>
      <xdr:col>25</xdr:col>
      <xdr:colOff>79555</xdr:colOff>
      <xdr:row>37</xdr:row>
      <xdr:rowOff>187101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739BFB-2032-4034-864F-CC89BC522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44232" y="4117380"/>
          <a:ext cx="10570308" cy="27848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SPOTCO%20-%2007.2023\54%20SQUARE\04.%20Custo\03.4.%20Or&#231;amento%20Param&#233;trico\R00\02%20-%20Or&#231;amento\CTN-SPT-54S%20-%20Gerenciamento%20executivo_R01.xlsx" TargetMode="External"/><Relationship Id="rId1" Type="http://schemas.openxmlformats.org/officeDocument/2006/relationships/externalLinkPath" Target="/.shortcut-targets-by-id/16oaQUYgx8kiowDwLhg-oO1zGZ777DJUb/2.%20Projetos%20em%20Andamento/SPOTCO%20-%2007.2023/54%20SQUARE/04.%20Custo/03.4.%20Or&#231;amento%20Param&#233;trico/R00/02%20-%20Or&#231;amento/CTN-SPT-54S%20-%20Gerenciamento%20executivo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Teto"/>
      <sheetName val="Acabamentos de Piso e Parede"/>
      <sheetName val="Pintura Interna"/>
      <sheetName val="Esquadrias"/>
      <sheetName val="Cobertura"/>
      <sheetName val="Rev. Fachada"/>
      <sheetName val="Auxiliar"/>
      <sheetName val="Complementares"/>
    </sheetNames>
    <sheetDataSet>
      <sheetData sheetId="0"/>
      <sheetData sheetId="1"/>
      <sheetData sheetId="2"/>
      <sheetData sheetId="3">
        <row r="49">
          <cell r="F49">
            <v>50</v>
          </cell>
        </row>
        <row r="50">
          <cell r="F50">
            <v>590</v>
          </cell>
        </row>
        <row r="51">
          <cell r="F51">
            <v>80</v>
          </cell>
        </row>
        <row r="52">
          <cell r="F52">
            <v>950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7342-A2B4-482C-B18B-06EF374B6F61}" name="Table_2" displayName="Table_2" ref="B10:G251">
  <tableColumns count="6">
    <tableColumn id="1" xr3:uid="{00000000-0010-0000-0100-000001000000}" name="Pavimento"/>
    <tableColumn id="2" xr3:uid="{00000000-0010-0000-0100-000002000000}" name="Ambiente"/>
    <tableColumn id="3" xr3:uid="{00000000-0010-0000-0100-000003000000}" name="Área (m²)"/>
    <tableColumn id="4" xr3:uid="{00000000-0010-0000-0100-000004000000}" name="Material"/>
    <tableColumn id="5" xr3:uid="{00000000-0010-0000-0100-000005000000}" name="Contrapiso (Sim/Não)"/>
    <tableColumn id="6" xr3:uid="{6621DE4B-8AA6-4A57-B06E-C3FE3C157665}" name="Forro" dataDxfId="0" dataCellStyle="Normal 4"/>
  </tableColumns>
  <tableStyleInfo name="PISO-style" showFirstColumn="1" showLastColumn="1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B4" zoomScale="107" zoomScaleNormal="115" zoomScaleSheetLayoutView="107" workbookViewId="0">
      <selection activeCell="E15" sqref="E15"/>
    </sheetView>
  </sheetViews>
  <sheetFormatPr defaultRowHeight="20.399999999999999" x14ac:dyDescent="0.7"/>
  <cols>
    <col min="1" max="1" width="19.109375" style="41" customWidth="1"/>
    <col min="2" max="2" width="83.6640625" style="42" customWidth="1"/>
    <col min="3" max="4" width="11.33203125" style="42" customWidth="1"/>
    <col min="5" max="5" width="11.33203125" style="43" customWidth="1"/>
    <col min="6" max="6" width="11.109375" style="44" customWidth="1"/>
    <col min="7" max="7" width="24" style="41" customWidth="1"/>
    <col min="8" max="9" width="9.33203125" bestFit="1" customWidth="1"/>
  </cols>
  <sheetData>
    <row r="1" spans="1:7" ht="18" customHeight="1" x14ac:dyDescent="0.7">
      <c r="A1" s="4" t="s">
        <v>0</v>
      </c>
      <c r="B1" s="5" t="s">
        <v>409</v>
      </c>
      <c r="C1" s="6"/>
      <c r="D1" s="6"/>
      <c r="E1" s="7"/>
      <c r="F1" s="8"/>
      <c r="G1" s="9"/>
    </row>
    <row r="2" spans="1:7" ht="18" customHeight="1" x14ac:dyDescent="0.7">
      <c r="A2" s="10" t="s">
        <v>117</v>
      </c>
      <c r="B2" s="11" t="s">
        <v>410</v>
      </c>
      <c r="C2" s="12"/>
      <c r="D2" s="12"/>
      <c r="E2" s="13"/>
      <c r="F2" s="14"/>
      <c r="G2" s="15"/>
    </row>
    <row r="3" spans="1:7" ht="18" customHeight="1" x14ac:dyDescent="0.7">
      <c r="A3" s="10" t="s">
        <v>1</v>
      </c>
      <c r="B3" s="11" t="s">
        <v>184</v>
      </c>
      <c r="C3" s="12"/>
      <c r="D3" s="12"/>
      <c r="E3" s="13"/>
      <c r="F3" s="14"/>
      <c r="G3" s="15"/>
    </row>
    <row r="4" spans="1:7" ht="18" customHeight="1" x14ac:dyDescent="0.7">
      <c r="A4" s="10" t="s">
        <v>287</v>
      </c>
      <c r="B4" s="11" t="s">
        <v>411</v>
      </c>
      <c r="C4" s="12"/>
      <c r="D4" s="12"/>
      <c r="E4" s="13"/>
      <c r="F4" s="14"/>
      <c r="G4" s="20"/>
    </row>
    <row r="5" spans="1:7" ht="25.2" customHeight="1" x14ac:dyDescent="0.3">
      <c r="A5" s="290" t="s">
        <v>126</v>
      </c>
      <c r="B5" s="291"/>
      <c r="C5" s="291"/>
      <c r="D5" s="291"/>
      <c r="E5" s="291"/>
      <c r="F5" s="291"/>
      <c r="G5" s="292"/>
    </row>
    <row r="6" spans="1:7" ht="14.4" customHeight="1" thickBot="1" x14ac:dyDescent="0.75">
      <c r="A6" s="16"/>
      <c r="B6" s="17"/>
      <c r="C6" s="17"/>
      <c r="D6" s="17"/>
      <c r="E6" s="18"/>
      <c r="F6" s="19"/>
      <c r="G6" s="20"/>
    </row>
    <row r="7" spans="1:7" x14ac:dyDescent="0.7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7">
      <c r="A8" s="22"/>
      <c r="B8" s="27" t="s">
        <v>128</v>
      </c>
      <c r="C8" s="28" t="s">
        <v>7</v>
      </c>
      <c r="D8" s="28" t="s">
        <v>120</v>
      </c>
      <c r="E8" s="29">
        <v>1575</v>
      </c>
      <c r="F8" s="26"/>
      <c r="G8" s="21"/>
    </row>
    <row r="9" spans="1:7" x14ac:dyDescent="0.7">
      <c r="A9" s="22"/>
      <c r="B9" s="30" t="s">
        <v>129</v>
      </c>
      <c r="C9" s="31" t="s">
        <v>8</v>
      </c>
      <c r="D9" s="31" t="s">
        <v>120</v>
      </c>
      <c r="E9" s="32">
        <v>13147.78</v>
      </c>
      <c r="F9" s="26"/>
      <c r="G9" s="21"/>
    </row>
    <row r="10" spans="1:7" x14ac:dyDescent="0.7">
      <c r="A10" s="22"/>
      <c r="B10" s="30" t="s">
        <v>288</v>
      </c>
      <c r="C10" s="31" t="s">
        <v>289</v>
      </c>
      <c r="D10" s="31" t="s">
        <v>123</v>
      </c>
      <c r="E10" s="32">
        <v>84</v>
      </c>
      <c r="F10" s="199"/>
      <c r="G10" s="21"/>
    </row>
    <row r="11" spans="1:7" x14ac:dyDescent="0.7">
      <c r="A11" s="22"/>
      <c r="B11" s="30" t="s">
        <v>290</v>
      </c>
      <c r="C11" s="31" t="s">
        <v>294</v>
      </c>
      <c r="D11" s="31" t="s">
        <v>123</v>
      </c>
      <c r="E11" s="32"/>
      <c r="F11" s="26"/>
      <c r="G11" s="21"/>
    </row>
    <row r="12" spans="1:7" x14ac:dyDescent="0.7">
      <c r="A12" s="22"/>
      <c r="B12" s="30" t="s">
        <v>291</v>
      </c>
      <c r="C12" s="31" t="s">
        <v>295</v>
      </c>
      <c r="D12" s="31" t="s">
        <v>123</v>
      </c>
      <c r="E12" s="32"/>
      <c r="F12" s="26"/>
      <c r="G12" s="21"/>
    </row>
    <row r="13" spans="1:7" x14ac:dyDescent="0.7">
      <c r="A13" s="22"/>
      <c r="B13" s="30" t="s">
        <v>292</v>
      </c>
      <c r="C13" s="31" t="s">
        <v>293</v>
      </c>
      <c r="D13" s="31" t="s">
        <v>123</v>
      </c>
      <c r="E13" s="32">
        <v>5</v>
      </c>
      <c r="F13" s="26"/>
      <c r="G13" s="21"/>
    </row>
    <row r="14" spans="1:7" x14ac:dyDescent="0.7">
      <c r="A14" s="22"/>
      <c r="B14" s="30" t="s">
        <v>271</v>
      </c>
      <c r="C14" s="31" t="s">
        <v>311</v>
      </c>
      <c r="D14" s="31" t="s">
        <v>123</v>
      </c>
      <c r="E14" s="32">
        <f>'SISTEMAS ESPECIAIS'!B10</f>
        <v>86</v>
      </c>
      <c r="F14" s="26"/>
      <c r="G14" s="21"/>
    </row>
    <row r="15" spans="1:7" x14ac:dyDescent="0.7">
      <c r="A15" s="22"/>
      <c r="B15" s="30" t="s">
        <v>130</v>
      </c>
      <c r="C15" s="31" t="s">
        <v>9</v>
      </c>
      <c r="D15" s="31" t="s">
        <v>123</v>
      </c>
      <c r="E15" s="32">
        <v>13</v>
      </c>
      <c r="F15" s="26"/>
      <c r="G15" s="21"/>
    </row>
    <row r="16" spans="1:7" x14ac:dyDescent="0.7">
      <c r="A16" s="22"/>
      <c r="B16" s="30" t="s">
        <v>131</v>
      </c>
      <c r="C16" s="31" t="s">
        <v>10</v>
      </c>
      <c r="D16" s="31" t="s">
        <v>123</v>
      </c>
      <c r="E16" s="32">
        <v>8</v>
      </c>
      <c r="F16" s="26"/>
      <c r="G16" s="21"/>
    </row>
    <row r="17" spans="1:7" x14ac:dyDescent="0.7">
      <c r="A17" s="22"/>
      <c r="B17" s="30" t="s">
        <v>132</v>
      </c>
      <c r="C17" s="31" t="s">
        <v>40</v>
      </c>
      <c r="D17" s="31" t="s">
        <v>123</v>
      </c>
      <c r="E17" s="32">
        <v>0</v>
      </c>
      <c r="F17" s="26"/>
      <c r="G17" s="21"/>
    </row>
    <row r="18" spans="1:7" x14ac:dyDescent="0.7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7">
      <c r="A19" s="22"/>
      <c r="B19" s="30" t="s">
        <v>134</v>
      </c>
      <c r="C19" s="31" t="s">
        <v>11</v>
      </c>
      <c r="D19" s="31" t="s">
        <v>120</v>
      </c>
      <c r="E19" s="32">
        <v>948.31</v>
      </c>
      <c r="F19" s="26"/>
      <c r="G19" s="21"/>
    </row>
    <row r="20" spans="1:7" x14ac:dyDescent="0.7">
      <c r="A20" s="22"/>
      <c r="B20" s="30" t="s">
        <v>135</v>
      </c>
      <c r="C20" s="31" t="s">
        <v>12</v>
      </c>
      <c r="D20" s="31" t="s">
        <v>119</v>
      </c>
      <c r="E20" s="32">
        <v>132.16</v>
      </c>
      <c r="F20" s="26"/>
      <c r="G20" s="21"/>
    </row>
    <row r="21" spans="1:7" x14ac:dyDescent="0.7">
      <c r="A21" s="22"/>
      <c r="B21" s="30" t="s">
        <v>136</v>
      </c>
      <c r="C21" s="31" t="s">
        <v>36</v>
      </c>
      <c r="D21" s="31" t="s">
        <v>120</v>
      </c>
      <c r="E21" s="32">
        <f>92.36+11.33+7.41+7.83+7.83+2.65+3.09+50.23+64.15+90.44+9.73+39.9+34.62+21.23+19.14+112.8+134.69</f>
        <v>709.43000000000006</v>
      </c>
      <c r="F21" s="26"/>
      <c r="G21" s="21"/>
    </row>
    <row r="22" spans="1:7" x14ac:dyDescent="0.7">
      <c r="A22" s="22"/>
      <c r="B22" s="30" t="s">
        <v>137</v>
      </c>
      <c r="C22" s="31" t="s">
        <v>35</v>
      </c>
      <c r="D22" s="31" t="s">
        <v>120</v>
      </c>
      <c r="E22" s="32">
        <f>1250.39+921.05</f>
        <v>2171.44</v>
      </c>
      <c r="F22" s="26"/>
      <c r="G22" s="21"/>
    </row>
    <row r="23" spans="1:7" x14ac:dyDescent="0.7">
      <c r="A23" s="22"/>
      <c r="B23" s="30" t="s">
        <v>138</v>
      </c>
      <c r="C23" s="31" t="s">
        <v>139</v>
      </c>
      <c r="D23" s="31" t="s">
        <v>120</v>
      </c>
      <c r="E23" s="32">
        <f>1488.24+1488.24</f>
        <v>2976.48</v>
      </c>
      <c r="F23" s="26"/>
      <c r="G23" s="21"/>
    </row>
    <row r="24" spans="1:7" x14ac:dyDescent="0.7">
      <c r="A24" s="22"/>
      <c r="B24" s="30" t="s">
        <v>140</v>
      </c>
      <c r="C24" s="31" t="s">
        <v>13</v>
      </c>
      <c r="D24" s="31" t="s">
        <v>123</v>
      </c>
      <c r="E24" s="32">
        <v>2</v>
      </c>
      <c r="F24" s="26"/>
      <c r="G24" s="21"/>
    </row>
    <row r="25" spans="1:7" x14ac:dyDescent="0.7">
      <c r="A25" s="22"/>
      <c r="B25" s="30" t="s">
        <v>141</v>
      </c>
      <c r="C25" s="31" t="s">
        <v>39</v>
      </c>
      <c r="D25" s="31" t="s">
        <v>120</v>
      </c>
      <c r="E25" s="32">
        <v>1488.24</v>
      </c>
      <c r="F25" s="26"/>
      <c r="G25" s="21"/>
    </row>
    <row r="26" spans="1:7" x14ac:dyDescent="0.7">
      <c r="A26" s="22"/>
      <c r="B26" s="30" t="s">
        <v>142</v>
      </c>
      <c r="C26" s="31" t="s">
        <v>153</v>
      </c>
      <c r="D26" s="31" t="s">
        <v>119</v>
      </c>
      <c r="E26" s="32">
        <v>157.96</v>
      </c>
      <c r="F26" s="26"/>
      <c r="G26" s="21"/>
    </row>
    <row r="27" spans="1:7" ht="21" thickBot="1" x14ac:dyDescent="0.75">
      <c r="A27" s="22"/>
      <c r="B27" s="33" t="s">
        <v>143</v>
      </c>
      <c r="C27" s="34" t="s">
        <v>154</v>
      </c>
      <c r="D27" s="34" t="s">
        <v>123</v>
      </c>
      <c r="E27" s="35">
        <v>2</v>
      </c>
      <c r="F27" s="26"/>
      <c r="G27" s="21"/>
    </row>
    <row r="28" spans="1:7" ht="21" thickBot="1" x14ac:dyDescent="0.7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4"/>
  <sheetViews>
    <sheetView showGridLines="0" topLeftCell="A22" zoomScale="85" zoomScaleNormal="85" zoomScaleSheetLayoutView="95" workbookViewId="0">
      <selection activeCell="F31" sqref="F31"/>
    </sheetView>
  </sheetViews>
  <sheetFormatPr defaultColWidth="9.109375" defaultRowHeight="19.8" x14ac:dyDescent="0.3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79.6640625" style="107" customWidth="1"/>
    <col min="8" max="16384" width="9.109375" style="1"/>
  </cols>
  <sheetData>
    <row r="1" spans="1:9" x14ac:dyDescent="0.3">
      <c r="A1" s="48"/>
      <c r="B1" s="48"/>
      <c r="C1" s="48"/>
      <c r="D1" s="51"/>
      <c r="E1" s="104"/>
      <c r="F1" s="104"/>
      <c r="G1" s="104"/>
      <c r="I1" s="2"/>
    </row>
    <row r="2" spans="1:9" ht="26.4" x14ac:dyDescent="0.3">
      <c r="A2" s="297" t="s">
        <v>121</v>
      </c>
      <c r="B2" s="298"/>
      <c r="C2" s="298"/>
      <c r="D2" s="298"/>
      <c r="E2" s="298"/>
      <c r="F2" s="298"/>
      <c r="G2" s="299"/>
      <c r="I2" s="2"/>
    </row>
    <row r="3" spans="1:9" ht="28.5" customHeight="1" x14ac:dyDescent="0.3">
      <c r="A3" s="185" t="s">
        <v>185</v>
      </c>
      <c r="B3" s="191">
        <v>45727</v>
      </c>
      <c r="C3" s="189"/>
      <c r="D3" s="189"/>
      <c r="E3" s="189"/>
      <c r="F3" s="189"/>
      <c r="G3" s="190"/>
      <c r="I3" s="2"/>
    </row>
    <row r="4" spans="1:9" ht="28.5" customHeight="1" x14ac:dyDescent="0.3">
      <c r="A4" s="185" t="s">
        <v>296</v>
      </c>
      <c r="B4" s="192" t="s">
        <v>213</v>
      </c>
      <c r="C4" s="187"/>
      <c r="D4" s="187"/>
      <c r="E4" s="187"/>
      <c r="F4" s="187"/>
      <c r="G4" s="188"/>
      <c r="I4" s="2"/>
    </row>
    <row r="5" spans="1:9" x14ac:dyDescent="0.3">
      <c r="A5" s="50"/>
      <c r="B5" s="50"/>
      <c r="C5" s="50"/>
      <c r="D5" s="49"/>
      <c r="E5" s="105"/>
      <c r="F5" s="104"/>
      <c r="G5" s="104"/>
      <c r="I5" s="2"/>
    </row>
    <row r="6" spans="1:9" s="55" customFormat="1" ht="20.399999999999999" x14ac:dyDescent="0.3">
      <c r="A6" s="52" t="s">
        <v>149</v>
      </c>
      <c r="B6" s="53"/>
      <c r="C6" s="53"/>
      <c r="D6" s="54"/>
      <c r="E6" s="98"/>
      <c r="F6" s="98"/>
      <c r="G6" s="98"/>
    </row>
    <row r="7" spans="1:9" s="55" customFormat="1" ht="20.399999999999999" x14ac:dyDescent="0.3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3">
      <c r="A8" s="63" t="s">
        <v>14</v>
      </c>
      <c r="B8" s="64" t="s">
        <v>478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298</v>
      </c>
    </row>
    <row r="9" spans="1:9" s="55" customFormat="1" ht="20.399999999999999" x14ac:dyDescent="0.3">
      <c r="A9" s="66" t="s">
        <v>145</v>
      </c>
      <c r="B9" s="67">
        <f>DADOS_INICIAIS!E25</f>
        <v>1488.24</v>
      </c>
      <c r="C9" s="67">
        <v>6</v>
      </c>
      <c r="D9" s="68">
        <f>(C9*B9)</f>
        <v>8929.44</v>
      </c>
      <c r="E9" s="88">
        <v>2.66</v>
      </c>
      <c r="F9" s="89">
        <f>E9*D9*1.1</f>
        <v>26127.541440000005</v>
      </c>
      <c r="G9" s="67"/>
    </row>
    <row r="10" spans="1:9" s="55" customFormat="1" ht="20.399999999999999" x14ac:dyDescent="0.3">
      <c r="A10" s="70" t="s">
        <v>155</v>
      </c>
      <c r="B10" s="67"/>
      <c r="C10" s="67"/>
      <c r="D10" s="68">
        <f>D9*1.3</f>
        <v>11608.272000000001</v>
      </c>
      <c r="E10" s="88">
        <v>45.45</v>
      </c>
      <c r="F10" s="89">
        <f>E10*D10*1.1</f>
        <v>580355.55864000018</v>
      </c>
      <c r="G10" s="67" t="s">
        <v>479</v>
      </c>
    </row>
    <row r="11" spans="1:9" s="55" customFormat="1" ht="20.399999999999999" x14ac:dyDescent="0.3">
      <c r="A11" s="296" t="s">
        <v>17</v>
      </c>
      <c r="B11" s="296"/>
      <c r="C11" s="296"/>
      <c r="D11" s="296"/>
      <c r="E11" s="296"/>
      <c r="F11" s="90">
        <f>SUM(F9:F10)</f>
        <v>606483.10008000024</v>
      </c>
      <c r="G11" s="90"/>
    </row>
    <row r="12" spans="1:9" s="55" customFormat="1" ht="20.399999999999999" x14ac:dyDescent="0.3">
      <c r="A12" s="300"/>
      <c r="B12" s="300"/>
      <c r="C12" s="300"/>
      <c r="D12" s="300"/>
      <c r="E12" s="300"/>
      <c r="F12" s="100"/>
      <c r="G12" s="100"/>
    </row>
    <row r="13" spans="1:9" s="55" customFormat="1" ht="20.399999999999999" x14ac:dyDescent="0.3">
      <c r="A13" s="52" t="s">
        <v>152</v>
      </c>
      <c r="B13" s="53"/>
      <c r="C13" s="53"/>
      <c r="D13" s="54"/>
      <c r="E13" s="98"/>
      <c r="F13" s="98"/>
      <c r="G13" s="98"/>
    </row>
    <row r="14" spans="1:9" s="55" customFormat="1" ht="20.399999999999999" x14ac:dyDescent="0.3">
      <c r="A14" s="56"/>
      <c r="B14" s="57"/>
      <c r="C14" s="57"/>
      <c r="D14" s="58"/>
      <c r="E14" s="99"/>
      <c r="F14" s="100"/>
      <c r="G14" s="100"/>
    </row>
    <row r="15" spans="1:9" s="55" customFormat="1" ht="42" customHeight="1" x14ac:dyDescent="0.3">
      <c r="A15" s="63" t="s">
        <v>14</v>
      </c>
      <c r="B15" s="64" t="s">
        <v>151</v>
      </c>
      <c r="C15" s="64"/>
      <c r="D15" s="65"/>
      <c r="E15" s="101" t="s">
        <v>150</v>
      </c>
      <c r="F15" s="90" t="s">
        <v>16</v>
      </c>
      <c r="G15" s="90" t="s">
        <v>298</v>
      </c>
    </row>
    <row r="16" spans="1:9" s="55" customFormat="1" ht="20.399999999999999" x14ac:dyDescent="0.3">
      <c r="A16" s="66" t="s">
        <v>124</v>
      </c>
      <c r="B16" s="67">
        <v>0</v>
      </c>
      <c r="C16" s="74"/>
      <c r="D16" s="75"/>
      <c r="E16" s="88">
        <v>200</v>
      </c>
      <c r="F16" s="89">
        <f>B16*E16*1.1</f>
        <v>0</v>
      </c>
      <c r="G16" s="67" t="s">
        <v>376</v>
      </c>
    </row>
    <row r="17" spans="1:11" s="55" customFormat="1" ht="20.399999999999999" x14ac:dyDescent="0.3">
      <c r="A17" s="296" t="s">
        <v>17</v>
      </c>
      <c r="B17" s="296"/>
      <c r="C17" s="296"/>
      <c r="D17" s="296"/>
      <c r="E17" s="296"/>
      <c r="F17" s="90">
        <f>SUM(F16:F16)</f>
        <v>0</v>
      </c>
      <c r="G17" s="90"/>
    </row>
    <row r="18" spans="1:11" s="55" customFormat="1" ht="20.399999999999999" x14ac:dyDescent="0.3">
      <c r="A18" s="300"/>
      <c r="B18" s="300"/>
      <c r="C18" s="300"/>
      <c r="D18" s="300"/>
      <c r="E18" s="300"/>
      <c r="F18" s="100"/>
      <c r="G18" s="100"/>
    </row>
    <row r="19" spans="1:11" s="55" customFormat="1" ht="20.399999999999999" x14ac:dyDescent="0.3">
      <c r="A19" s="52" t="s">
        <v>19</v>
      </c>
      <c r="B19" s="53"/>
      <c r="C19" s="53"/>
      <c r="D19" s="54"/>
      <c r="E19" s="98"/>
      <c r="F19" s="98"/>
      <c r="G19" s="98"/>
    </row>
    <row r="20" spans="1:11" s="55" customFormat="1" ht="20.399999999999999" x14ac:dyDescent="0.3">
      <c r="A20" s="56"/>
      <c r="B20" s="57"/>
      <c r="C20" s="57"/>
      <c r="D20" s="58"/>
      <c r="E20" s="99"/>
      <c r="F20" s="100"/>
      <c r="G20" s="100"/>
    </row>
    <row r="21" spans="1:11" s="55" customFormat="1" ht="42" customHeight="1" x14ac:dyDescent="0.3">
      <c r="A21" s="63" t="s">
        <v>14</v>
      </c>
      <c r="B21" s="301" t="s">
        <v>5</v>
      </c>
      <c r="C21" s="302"/>
      <c r="D21" s="65" t="s">
        <v>147</v>
      </c>
      <c r="E21" s="101" t="s">
        <v>159</v>
      </c>
      <c r="F21" s="90" t="s">
        <v>16</v>
      </c>
      <c r="G21" s="90" t="s">
        <v>298</v>
      </c>
    </row>
    <row r="22" spans="1:11" s="55" customFormat="1" ht="20.399999999999999" x14ac:dyDescent="0.3">
      <c r="A22" s="70" t="s">
        <v>20</v>
      </c>
      <c r="B22" s="62">
        <v>1.3</v>
      </c>
      <c r="C22" s="62" t="s">
        <v>314</v>
      </c>
      <c r="D22" s="72">
        <f>B22*INFRAESTRUTURA!D29</f>
        <v>444.98376000000002</v>
      </c>
      <c r="E22" s="88">
        <v>36.36</v>
      </c>
      <c r="F22" s="106">
        <f>E22*D22*1.1</f>
        <v>17797.570464960001</v>
      </c>
      <c r="G22" s="67"/>
    </row>
    <row r="23" spans="1:11" s="55" customFormat="1" ht="26.25" customHeight="1" x14ac:dyDescent="0.3">
      <c r="A23" s="70" t="s">
        <v>21</v>
      </c>
      <c r="B23" s="62">
        <v>0.6</v>
      </c>
      <c r="C23" s="62" t="s">
        <v>156</v>
      </c>
      <c r="D23" s="72">
        <f>D22-INFRAESTRUTURA!D29</f>
        <v>102.68856</v>
      </c>
      <c r="E23" s="88">
        <v>14.55</v>
      </c>
      <c r="F23" s="106">
        <f>E23*D23*1.1</f>
        <v>1643.5304028</v>
      </c>
      <c r="G23" s="67"/>
    </row>
    <row r="24" spans="1:11" s="55" customFormat="1" ht="20.399999999999999" x14ac:dyDescent="0.3">
      <c r="A24" s="70" t="s">
        <v>155</v>
      </c>
      <c r="B24" s="62">
        <v>1.3</v>
      </c>
      <c r="C24" s="62"/>
      <c r="D24" s="72">
        <f>(D22-D23)*B24</f>
        <v>444.98376000000002</v>
      </c>
      <c r="E24" s="88">
        <v>45.45</v>
      </c>
      <c r="F24" s="106">
        <f>E24*D24*1.1</f>
        <v>22246.963081200003</v>
      </c>
      <c r="G24" s="67"/>
    </row>
    <row r="25" spans="1:11" s="55" customFormat="1" ht="20.399999999999999" x14ac:dyDescent="0.3">
      <c r="A25" s="69" t="s">
        <v>144</v>
      </c>
      <c r="B25" s="61">
        <v>1</v>
      </c>
      <c r="C25" s="61" t="s">
        <v>22</v>
      </c>
      <c r="D25" s="73">
        <f>INFRAESTRUTURA!D19</f>
        <v>1454.7144782447535</v>
      </c>
      <c r="E25" s="88">
        <v>68.180000000000007</v>
      </c>
      <c r="F25" s="106">
        <f>E25*D25*1.1</f>
        <v>109100.67643940005</v>
      </c>
      <c r="G25" s="67"/>
    </row>
    <row r="26" spans="1:11" s="55" customFormat="1" ht="20.399999999999999" x14ac:dyDescent="0.3">
      <c r="A26" s="296" t="s">
        <v>17</v>
      </c>
      <c r="B26" s="296"/>
      <c r="C26" s="296"/>
      <c r="D26" s="296"/>
      <c r="E26" s="296"/>
      <c r="F26" s="90">
        <f>SUM(F22:F25)</f>
        <v>150788.74038836005</v>
      </c>
      <c r="G26" s="90"/>
    </row>
    <row r="27" spans="1:11" x14ac:dyDescent="0.3">
      <c r="K27" s="47"/>
    </row>
    <row r="28" spans="1:11" ht="20.399999999999999" x14ac:dyDescent="0.3">
      <c r="A28" s="52" t="s">
        <v>100</v>
      </c>
      <c r="B28" s="53"/>
      <c r="C28" s="53"/>
      <c r="D28" s="54"/>
      <c r="E28" s="98"/>
      <c r="F28" s="98"/>
      <c r="G28" s="98"/>
    </row>
    <row r="29" spans="1:11" ht="20.399999999999999" x14ac:dyDescent="0.3">
      <c r="A29" s="56"/>
      <c r="B29" s="57"/>
      <c r="C29" s="57"/>
      <c r="D29" s="58"/>
      <c r="E29" s="99"/>
      <c r="F29" s="100"/>
      <c r="G29" s="100"/>
    </row>
    <row r="30" spans="1:11" ht="20.399999999999999" x14ac:dyDescent="0.3">
      <c r="A30" s="63" t="s">
        <v>14</v>
      </c>
      <c r="B30" s="301" t="s">
        <v>5</v>
      </c>
      <c r="C30" s="302"/>
      <c r="D30" s="65" t="s">
        <v>157</v>
      </c>
      <c r="E30" s="101" t="s">
        <v>158</v>
      </c>
      <c r="F30" s="90" t="s">
        <v>16</v>
      </c>
      <c r="G30" s="90" t="s">
        <v>298</v>
      </c>
    </row>
    <row r="31" spans="1:11" ht="20.399999999999999" x14ac:dyDescent="0.3">
      <c r="A31" s="70" t="s">
        <v>480</v>
      </c>
      <c r="B31" s="62">
        <v>0.8</v>
      </c>
      <c r="C31" s="62" t="s">
        <v>113</v>
      </c>
      <c r="D31" s="72">
        <f>B31*DADOS_INICIAIS!E25</f>
        <v>1190.5920000000001</v>
      </c>
      <c r="E31" s="88">
        <f>370*0.1</f>
        <v>37</v>
      </c>
      <c r="F31" s="106">
        <f>E31*D31*1.1</f>
        <v>48457.094400000009</v>
      </c>
      <c r="G31" s="67"/>
      <c r="H31" s="1">
        <f>F31/DADOS_INICIAIS!E25</f>
        <v>32.560000000000009</v>
      </c>
      <c r="I31" s="100"/>
    </row>
    <row r="32" spans="1:11" ht="20.399999999999999" x14ac:dyDescent="0.3">
      <c r="A32" s="296" t="s">
        <v>17</v>
      </c>
      <c r="B32" s="296"/>
      <c r="C32" s="296"/>
      <c r="D32" s="296"/>
      <c r="E32" s="296"/>
      <c r="F32" s="90">
        <f>SUM(F31:F31)</f>
        <v>48457.094400000009</v>
      </c>
      <c r="G32" s="90"/>
    </row>
    <row r="34" spans="1:7" ht="23.25" customHeight="1" x14ac:dyDescent="0.3">
      <c r="A34" s="293" t="s">
        <v>103</v>
      </c>
      <c r="B34" s="294"/>
      <c r="C34" s="294"/>
      <c r="D34" s="294"/>
      <c r="E34" s="295"/>
      <c r="F34" s="108">
        <f>F11+F17+F26+F32</f>
        <v>805728.9348683604</v>
      </c>
      <c r="G34" s="108">
        <f>F34/DADOS_INICIAIS!E9</f>
        <v>61.282508139652499</v>
      </c>
    </row>
  </sheetData>
  <mergeCells count="10">
    <mergeCell ref="A34:E34"/>
    <mergeCell ref="A26:E26"/>
    <mergeCell ref="A2:G2"/>
    <mergeCell ref="A11:E11"/>
    <mergeCell ref="A12:E12"/>
    <mergeCell ref="B21:C21"/>
    <mergeCell ref="B30:C30"/>
    <mergeCell ref="A32:E32"/>
    <mergeCell ref="A17:E17"/>
    <mergeCell ref="A18:E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09375" defaultRowHeight="14.4" x14ac:dyDescent="0.3"/>
  <cols>
    <col min="1" max="1" width="50.109375" style="55" customWidth="1"/>
    <col min="2" max="3" width="21.6640625" style="55" customWidth="1"/>
    <col min="4" max="4" width="16.5546875" style="81" customWidth="1"/>
    <col min="5" max="5" width="19.5546875" style="82" customWidth="1"/>
    <col min="6" max="6" width="20.88671875" style="94" customWidth="1"/>
    <col min="7" max="7" width="20.6640625" style="94" customWidth="1"/>
    <col min="8" max="8" width="15.109375" style="94" customWidth="1"/>
    <col min="9" max="9" width="11.33203125" style="55" customWidth="1"/>
    <col min="10" max="10" width="9.109375" style="55"/>
    <col min="11" max="11" width="11" style="55" bestFit="1" customWidth="1"/>
    <col min="12" max="13" width="9.109375" style="55"/>
    <col min="14" max="15" width="11" style="55" bestFit="1" customWidth="1"/>
    <col min="16" max="16384" width="9.109375" style="55"/>
  </cols>
  <sheetData>
    <row r="1" spans="1:10" x14ac:dyDescent="0.3">
      <c r="D1" s="79"/>
      <c r="E1" s="55"/>
      <c r="H1" s="95"/>
      <c r="I1" s="80"/>
      <c r="J1" s="79"/>
    </row>
    <row r="3" spans="1:10" ht="26.4" x14ac:dyDescent="0.3">
      <c r="A3" s="297" t="s">
        <v>165</v>
      </c>
      <c r="B3" s="305"/>
      <c r="C3" s="305"/>
      <c r="D3" s="298"/>
      <c r="E3" s="298"/>
      <c r="F3" s="298"/>
      <c r="G3" s="298"/>
      <c r="H3" s="299"/>
      <c r="J3" s="79"/>
    </row>
    <row r="4" spans="1:10" ht="19.8" x14ac:dyDescent="0.3">
      <c r="A4" s="185" t="s">
        <v>185</v>
      </c>
      <c r="B4" s="191"/>
      <c r="C4" s="189"/>
      <c r="D4" s="189"/>
      <c r="E4" s="189"/>
      <c r="F4" s="189"/>
      <c r="G4" s="189"/>
      <c r="H4" s="190"/>
      <c r="J4" s="79"/>
    </row>
    <row r="5" spans="1:10" ht="19.8" x14ac:dyDescent="0.3">
      <c r="A5" s="185" t="s">
        <v>296</v>
      </c>
      <c r="B5" s="186"/>
      <c r="C5" s="187"/>
      <c r="D5" s="187"/>
      <c r="E5" s="187"/>
      <c r="F5" s="187"/>
      <c r="G5" s="187"/>
      <c r="H5" s="188"/>
      <c r="J5" s="79"/>
    </row>
    <row r="6" spans="1:10" ht="20.399999999999999" x14ac:dyDescent="0.3">
      <c r="A6" s="83"/>
      <c r="B6" s="83"/>
      <c r="C6" s="83"/>
      <c r="D6" s="83"/>
      <c r="E6" s="83"/>
      <c r="F6" s="96"/>
      <c r="G6" s="97"/>
      <c r="H6" s="97"/>
      <c r="J6" s="79"/>
    </row>
    <row r="7" spans="1:10" ht="20.399999999999999" x14ac:dyDescent="0.3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0.399999999999999" x14ac:dyDescent="0.3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100"/>
    </row>
    <row r="10" spans="1:10" ht="20.399999999999999" x14ac:dyDescent="0.3">
      <c r="A10" s="66" t="s">
        <v>107</v>
      </c>
      <c r="B10" s="62">
        <v>0.15</v>
      </c>
      <c r="C10" s="62" t="s">
        <v>108</v>
      </c>
      <c r="D10" s="67">
        <f>B10*DADOS_INICIAIS!E25</f>
        <v>223.23599999999999</v>
      </c>
      <c r="E10" s="67" t="s">
        <v>3</v>
      </c>
      <c r="F10" s="92"/>
      <c r="G10" s="93"/>
      <c r="H10" s="102"/>
    </row>
    <row r="11" spans="1:10" ht="20.399999999999999" x14ac:dyDescent="0.3">
      <c r="A11" s="303" t="s">
        <v>161</v>
      </c>
      <c r="B11" s="76">
        <v>0.1</v>
      </c>
      <c r="C11" s="62"/>
      <c r="D11" s="67">
        <f>B11*$D$10</f>
        <v>22.323599999999999</v>
      </c>
      <c r="E11" s="67" t="s">
        <v>3</v>
      </c>
      <c r="F11" s="92"/>
      <c r="G11" s="93"/>
      <c r="H11" s="102"/>
    </row>
    <row r="12" spans="1:10" ht="20.399999999999999" x14ac:dyDescent="0.3">
      <c r="A12" s="304"/>
      <c r="B12" s="77">
        <v>20</v>
      </c>
      <c r="C12" s="62" t="s">
        <v>162</v>
      </c>
      <c r="D12" s="67">
        <f>B12*D11</f>
        <v>446.47199999999998</v>
      </c>
      <c r="E12" s="67" t="s">
        <v>4</v>
      </c>
      <c r="F12" s="88"/>
      <c r="G12" s="89">
        <f>F12*D12</f>
        <v>0</v>
      </c>
      <c r="H12" s="102"/>
    </row>
    <row r="13" spans="1:10" ht="20.399999999999999" x14ac:dyDescent="0.3">
      <c r="A13" s="303" t="s">
        <v>160</v>
      </c>
      <c r="B13" s="76">
        <v>0.5</v>
      </c>
      <c r="C13" s="62"/>
      <c r="D13" s="67">
        <f>B13*$D$10</f>
        <v>111.61799999999999</v>
      </c>
      <c r="E13" s="67" t="s">
        <v>3</v>
      </c>
      <c r="F13" s="92"/>
      <c r="G13" s="93"/>
      <c r="H13" s="102"/>
    </row>
    <row r="14" spans="1:10" ht="20.399999999999999" x14ac:dyDescent="0.3">
      <c r="A14" s="304"/>
      <c r="B14" s="77">
        <v>20</v>
      </c>
      <c r="C14" s="62" t="s">
        <v>162</v>
      </c>
      <c r="D14" s="67">
        <f>B14*D13</f>
        <v>2232.3599999999997</v>
      </c>
      <c r="E14" s="67" t="s">
        <v>4</v>
      </c>
      <c r="F14" s="88"/>
      <c r="G14" s="89">
        <f>F14*D14</f>
        <v>0</v>
      </c>
      <c r="H14" s="102"/>
    </row>
    <row r="15" spans="1:10" ht="20.399999999999999" x14ac:dyDescent="0.3">
      <c r="A15" s="303" t="s">
        <v>114</v>
      </c>
      <c r="B15" s="76">
        <v>0.4</v>
      </c>
      <c r="C15" s="62" t="s">
        <v>108</v>
      </c>
      <c r="D15" s="67">
        <f>B15*$D$10</f>
        <v>89.294399999999996</v>
      </c>
      <c r="E15" s="67" t="s">
        <v>3</v>
      </c>
      <c r="F15" s="92"/>
      <c r="G15" s="93"/>
      <c r="H15" s="102"/>
    </row>
    <row r="16" spans="1:10" ht="20.399999999999999" x14ac:dyDescent="0.3">
      <c r="A16" s="304"/>
      <c r="B16" s="77">
        <v>20</v>
      </c>
      <c r="C16" s="62" t="s">
        <v>162</v>
      </c>
      <c r="D16" s="67">
        <f>B16*D15</f>
        <v>1785.8879999999999</v>
      </c>
      <c r="E16" s="67" t="s">
        <v>4</v>
      </c>
      <c r="F16" s="88"/>
      <c r="G16" s="89">
        <f>F16*D16</f>
        <v>0</v>
      </c>
      <c r="H16" s="102"/>
    </row>
    <row r="17" spans="1:8" ht="20.399999999999999" x14ac:dyDescent="0.3">
      <c r="A17" s="66" t="s">
        <v>24</v>
      </c>
      <c r="B17" s="62">
        <f>(PI()*0.4^2)/4*D14+(PI()*0.5^2)/4*D16+(PI()*0.6^2)/4*D12</f>
        <v>757.42190382611284</v>
      </c>
      <c r="C17" s="62" t="s">
        <v>108</v>
      </c>
      <c r="D17" s="67">
        <f>(PI()*0.4^2)/4*D14+(PI()*0.5^2)/4*D16+(PI()*0.6^2)/4*D12</f>
        <v>757.42190382611284</v>
      </c>
      <c r="E17" s="67" t="s">
        <v>22</v>
      </c>
      <c r="F17" s="88"/>
      <c r="G17" s="89">
        <f>F17*D17</f>
        <v>0</v>
      </c>
      <c r="H17" s="102"/>
    </row>
    <row r="18" spans="1:8" ht="20.399999999999999" x14ac:dyDescent="0.3">
      <c r="A18" s="66" t="s">
        <v>115</v>
      </c>
      <c r="B18" s="62">
        <v>1.6575131198547477</v>
      </c>
      <c r="C18" s="62" t="s">
        <v>34</v>
      </c>
      <c r="D18" s="67">
        <f>B18*D17</f>
        <v>1255.4367428571429</v>
      </c>
      <c r="E18" s="67" t="s">
        <v>26</v>
      </c>
      <c r="F18" s="88"/>
      <c r="G18" s="89">
        <f>F18*D18</f>
        <v>0</v>
      </c>
      <c r="H18" s="102"/>
    </row>
    <row r="19" spans="1:8" ht="20.399999999999999" x14ac:dyDescent="0.3">
      <c r="A19" s="66" t="s">
        <v>125</v>
      </c>
      <c r="B19" s="62">
        <v>10.178337551067401</v>
      </c>
      <c r="C19" s="62" t="s">
        <v>34</v>
      </c>
      <c r="D19" s="67">
        <f>B19*D17</f>
        <v>7709.295805714286</v>
      </c>
      <c r="E19" s="67" t="s">
        <v>26</v>
      </c>
      <c r="F19" s="88"/>
      <c r="G19" s="89">
        <f>F19*D19</f>
        <v>0</v>
      </c>
      <c r="H19" s="102"/>
    </row>
    <row r="20" spans="1:8" ht="20.399999999999999" x14ac:dyDescent="0.3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0.399999999999999" x14ac:dyDescent="0.3">
      <c r="A21" s="296" t="s">
        <v>17</v>
      </c>
      <c r="B21" s="296"/>
      <c r="C21" s="296"/>
      <c r="D21" s="296"/>
      <c r="E21" s="296"/>
      <c r="F21" s="296"/>
      <c r="G21" s="90">
        <f>SUM(G10:G20)</f>
        <v>0</v>
      </c>
      <c r="H21" s="103"/>
    </row>
    <row r="23" spans="1:8" ht="20.399999999999999" x14ac:dyDescent="0.3">
      <c r="A23" s="52" t="s">
        <v>297</v>
      </c>
      <c r="B23" s="52"/>
      <c r="C23" s="52"/>
      <c r="D23" s="53"/>
      <c r="E23" s="53"/>
      <c r="F23" s="98"/>
      <c r="G23" s="98"/>
      <c r="H23" s="98"/>
    </row>
    <row r="24" spans="1:8" ht="20.399999999999999" x14ac:dyDescent="0.3">
      <c r="A24" s="56"/>
      <c r="B24" s="56"/>
      <c r="C24" s="56"/>
      <c r="D24" s="57"/>
      <c r="E24" s="57"/>
      <c r="F24" s="99"/>
      <c r="G24" s="100"/>
      <c r="H24" s="100"/>
    </row>
    <row r="25" spans="1:8" ht="20.399999999999999" x14ac:dyDescent="0.3">
      <c r="A25" s="63" t="s">
        <v>14</v>
      </c>
      <c r="B25" s="301" t="s">
        <v>5</v>
      </c>
      <c r="C25" s="302"/>
      <c r="D25" s="301" t="s">
        <v>18</v>
      </c>
      <c r="E25" s="302"/>
      <c r="F25" s="101" t="s">
        <v>118</v>
      </c>
      <c r="G25" s="90" t="s">
        <v>16</v>
      </c>
      <c r="H25" s="100"/>
    </row>
    <row r="26" spans="1:8" ht="40.799999999999997" x14ac:dyDescent="0.3">
      <c r="A26" s="66" t="s">
        <v>111</v>
      </c>
      <c r="B26" s="62">
        <v>2.1</v>
      </c>
      <c r="C26" s="62" t="s">
        <v>113</v>
      </c>
      <c r="D26" s="67">
        <f>B26*DADOS_INICIAIS!E25</f>
        <v>3125.3040000000001</v>
      </c>
      <c r="E26" s="67" t="s">
        <v>2</v>
      </c>
      <c r="F26" s="88"/>
      <c r="G26" s="89">
        <f>F26*D26</f>
        <v>0</v>
      </c>
      <c r="H26" s="102"/>
    </row>
    <row r="27" spans="1:8" ht="20.399999999999999" x14ac:dyDescent="0.3">
      <c r="A27" s="66" t="s">
        <v>24</v>
      </c>
      <c r="B27" s="62">
        <v>0.65</v>
      </c>
      <c r="C27" s="62" t="s">
        <v>112</v>
      </c>
      <c r="D27" s="67">
        <f>B27*DADOS_INICIAIS!E25</f>
        <v>967.35599999999999</v>
      </c>
      <c r="E27" s="67" t="s">
        <v>22</v>
      </c>
      <c r="F27" s="88"/>
      <c r="G27" s="89">
        <f>F27*D27</f>
        <v>0</v>
      </c>
      <c r="H27" s="102"/>
    </row>
    <row r="28" spans="1:8" ht="20.399999999999999" x14ac:dyDescent="0.3">
      <c r="A28" s="66" t="s">
        <v>23</v>
      </c>
      <c r="B28" s="62">
        <v>110</v>
      </c>
      <c r="C28" s="62" t="s">
        <v>34</v>
      </c>
      <c r="D28" s="67">
        <f>B28*D27</f>
        <v>106409.16</v>
      </c>
      <c r="E28" s="67" t="s">
        <v>26</v>
      </c>
      <c r="F28" s="88"/>
      <c r="G28" s="89">
        <f>F28*D28</f>
        <v>0</v>
      </c>
      <c r="H28" s="102"/>
    </row>
    <row r="29" spans="1:8" ht="20.399999999999999" x14ac:dyDescent="0.3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1488.24</v>
      </c>
      <c r="E29" s="67" t="s">
        <v>2</v>
      </c>
      <c r="F29" s="88">
        <f>B29</f>
        <v>360</v>
      </c>
      <c r="G29" s="89">
        <f>F29*D29</f>
        <v>535766.4</v>
      </c>
      <c r="H29" s="102"/>
    </row>
    <row r="30" spans="1:8" ht="20.399999999999999" x14ac:dyDescent="0.3">
      <c r="A30" s="296" t="s">
        <v>17</v>
      </c>
      <c r="B30" s="296"/>
      <c r="C30" s="296"/>
      <c r="D30" s="296"/>
      <c r="E30" s="296"/>
      <c r="F30" s="296"/>
      <c r="G30" s="90">
        <f>SUM(G26:G29)</f>
        <v>535766.4</v>
      </c>
      <c r="H30" s="103"/>
    </row>
    <row r="33" spans="1:8" ht="20.399999999999999" x14ac:dyDescent="0.3">
      <c r="A33" s="52" t="s">
        <v>167</v>
      </c>
      <c r="B33" s="52"/>
      <c r="C33" s="52"/>
      <c r="D33" s="53"/>
      <c r="E33" s="53"/>
      <c r="F33" s="98"/>
      <c r="G33" s="98"/>
      <c r="H33" s="98"/>
    </row>
    <row r="34" spans="1:8" ht="20.399999999999999" x14ac:dyDescent="0.3">
      <c r="A34" s="56"/>
      <c r="B34" s="56"/>
      <c r="C34" s="56"/>
      <c r="D34" s="57"/>
      <c r="E34" s="57"/>
      <c r="F34" s="99"/>
      <c r="G34" s="100"/>
      <c r="H34" s="100"/>
    </row>
    <row r="35" spans="1:8" ht="20.399999999999999" x14ac:dyDescent="0.3">
      <c r="A35" s="63" t="s">
        <v>14</v>
      </c>
      <c r="B35" s="301" t="s">
        <v>5</v>
      </c>
      <c r="C35" s="302"/>
      <c r="D35" s="301" t="s">
        <v>18</v>
      </c>
      <c r="E35" s="302"/>
      <c r="F35" s="101" t="s">
        <v>118</v>
      </c>
      <c r="G35" s="90" t="s">
        <v>16</v>
      </c>
      <c r="H35" s="100"/>
    </row>
    <row r="36" spans="1:8" ht="40.799999999999997" x14ac:dyDescent="0.3">
      <c r="A36" s="66" t="s">
        <v>111</v>
      </c>
      <c r="B36" s="62">
        <v>2.1</v>
      </c>
      <c r="C36" s="62" t="s">
        <v>113</v>
      </c>
      <c r="D36" s="67">
        <f>B36*DADOS_INICIAIS!E35</f>
        <v>0</v>
      </c>
      <c r="E36" s="67" t="s">
        <v>2</v>
      </c>
      <c r="F36" s="88"/>
      <c r="G36" s="89">
        <f>F36*D36</f>
        <v>0</v>
      </c>
      <c r="H36" s="102"/>
    </row>
    <row r="37" spans="1:8" ht="20.399999999999999" x14ac:dyDescent="0.3">
      <c r="A37" s="66" t="s">
        <v>24</v>
      </c>
      <c r="B37" s="62">
        <v>0.65</v>
      </c>
      <c r="C37" s="62" t="s">
        <v>112</v>
      </c>
      <c r="D37" s="67">
        <f>B37*DADOS_INICIAIS!E35</f>
        <v>0</v>
      </c>
      <c r="E37" s="67" t="s">
        <v>22</v>
      </c>
      <c r="F37" s="88"/>
      <c r="G37" s="89">
        <f>F37*D37</f>
        <v>0</v>
      </c>
      <c r="H37" s="102"/>
    </row>
    <row r="38" spans="1:8" ht="20.399999999999999" x14ac:dyDescent="0.3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0.399999999999999" x14ac:dyDescent="0.3">
      <c r="A39" s="66" t="s">
        <v>25</v>
      </c>
      <c r="B39" s="62">
        <f>SUPRAESTRUTURA!B69*1.5</f>
        <v>0</v>
      </c>
      <c r="C39" s="62" t="s">
        <v>102</v>
      </c>
      <c r="D39" s="67">
        <f>DADOS_INICIAIS!E35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0.399999999999999" x14ac:dyDescent="0.3">
      <c r="A40" s="296" t="s">
        <v>17</v>
      </c>
      <c r="B40" s="296"/>
      <c r="C40" s="296"/>
      <c r="D40" s="296"/>
      <c r="E40" s="296"/>
      <c r="F40" s="296"/>
      <c r="G40" s="90">
        <f>SUM(G36:G39)</f>
        <v>0</v>
      </c>
      <c r="H40" s="103"/>
    </row>
    <row r="45" spans="1:8" x14ac:dyDescent="0.3">
      <c r="D45" s="86"/>
      <c r="E45" s="87"/>
    </row>
    <row r="46" spans="1:8" ht="20.399999999999999" x14ac:dyDescent="0.3">
      <c r="A46" s="306" t="s">
        <v>104</v>
      </c>
      <c r="B46" s="307"/>
      <c r="C46" s="307"/>
      <c r="D46" s="307"/>
      <c r="E46" s="307"/>
      <c r="F46" s="308"/>
      <c r="G46" s="91">
        <f>G21+G30</f>
        <v>535766.4</v>
      </c>
      <c r="H46" s="91">
        <f>G46/DADOS_INICIAIS!E9</f>
        <v>40.749571410534706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41"/>
  <sheetViews>
    <sheetView showGridLines="0" topLeftCell="A11" zoomScale="80" zoomScaleNormal="80" zoomScaleSheetLayoutView="95" workbookViewId="0">
      <selection activeCell="B10" sqref="B10:C22"/>
    </sheetView>
  </sheetViews>
  <sheetFormatPr defaultColWidth="9.109375" defaultRowHeight="14.4" x14ac:dyDescent="0.3"/>
  <cols>
    <col min="1" max="1" width="50.109375" style="55" customWidth="1"/>
    <col min="2" max="3" width="21.6640625" style="55" customWidth="1"/>
    <col min="4" max="4" width="16.5546875" style="81" customWidth="1"/>
    <col min="5" max="5" width="19.5546875" style="82" customWidth="1"/>
    <col min="6" max="6" width="20.88671875" style="94" customWidth="1"/>
    <col min="7" max="7" width="20.6640625" style="94" customWidth="1"/>
    <col min="8" max="8" width="69.44140625" style="94" customWidth="1"/>
    <col min="9" max="9" width="11.33203125" style="55" customWidth="1"/>
    <col min="10" max="10" width="9.109375" style="55"/>
    <col min="11" max="11" width="11" style="55" bestFit="1" customWidth="1"/>
    <col min="12" max="13" width="9.109375" style="55"/>
    <col min="14" max="15" width="11" style="55" bestFit="1" customWidth="1"/>
    <col min="16" max="16384" width="9.109375" style="55"/>
  </cols>
  <sheetData>
    <row r="1" spans="1:10" x14ac:dyDescent="0.3">
      <c r="D1" s="79"/>
      <c r="E1" s="55"/>
      <c r="H1" s="95"/>
      <c r="I1" s="80"/>
      <c r="J1" s="79"/>
    </row>
    <row r="3" spans="1:10" ht="26.4" x14ac:dyDescent="0.3">
      <c r="A3" s="297" t="s">
        <v>122</v>
      </c>
      <c r="B3" s="305"/>
      <c r="C3" s="305"/>
      <c r="D3" s="298"/>
      <c r="E3" s="298"/>
      <c r="F3" s="298"/>
      <c r="G3" s="298"/>
      <c r="H3" s="299"/>
      <c r="J3" s="79"/>
    </row>
    <row r="4" spans="1:10" ht="19.8" x14ac:dyDescent="0.3">
      <c r="A4" s="185" t="s">
        <v>185</v>
      </c>
      <c r="B4" s="191">
        <v>45727</v>
      </c>
      <c r="C4" s="189"/>
      <c r="D4" s="189"/>
      <c r="E4" s="189"/>
      <c r="F4" s="189"/>
      <c r="G4" s="189"/>
      <c r="H4" s="190"/>
      <c r="J4" s="79"/>
    </row>
    <row r="5" spans="1:10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0.399999999999999" x14ac:dyDescent="0.3">
      <c r="A6" s="83"/>
      <c r="B6" s="83"/>
      <c r="C6" s="83"/>
      <c r="D6" s="83"/>
      <c r="E6" s="83"/>
      <c r="F6" s="96"/>
      <c r="G6" s="97"/>
      <c r="H6" s="97"/>
      <c r="J6" s="79"/>
    </row>
    <row r="7" spans="1:10" ht="20.399999999999999" x14ac:dyDescent="0.3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0.399999999999999" x14ac:dyDescent="0.3">
      <c r="A8" s="56"/>
      <c r="B8" s="56"/>
      <c r="C8" s="56"/>
      <c r="D8" s="57"/>
      <c r="E8" s="57"/>
      <c r="F8" s="99"/>
      <c r="G8" s="100"/>
      <c r="H8" s="100"/>
    </row>
    <row r="9" spans="1:10" ht="20.399999999999999" x14ac:dyDescent="0.3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90" t="s">
        <v>298</v>
      </c>
    </row>
    <row r="10" spans="1:10" ht="20.399999999999999" x14ac:dyDescent="0.3">
      <c r="A10" s="66" t="s">
        <v>107</v>
      </c>
      <c r="B10" s="62">
        <v>0.15</v>
      </c>
      <c r="C10" s="62" t="s">
        <v>108</v>
      </c>
      <c r="D10" s="67">
        <f>ROUNDUP(B10*DADOS_INICIAIS!$E$25,0)</f>
        <v>224</v>
      </c>
      <c r="E10" s="67" t="s">
        <v>3</v>
      </c>
      <c r="F10" s="92"/>
      <c r="G10" s="93"/>
      <c r="H10" s="67"/>
    </row>
    <row r="11" spans="1:10" ht="20.399999999999999" x14ac:dyDescent="0.3">
      <c r="A11" s="303" t="s">
        <v>161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0.399999999999999" x14ac:dyDescent="0.3">
      <c r="A12" s="304"/>
      <c r="B12" s="77">
        <v>28</v>
      </c>
      <c r="C12" s="62" t="s">
        <v>162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 t="s">
        <v>473</v>
      </c>
    </row>
    <row r="13" spans="1:10" ht="20.399999999999999" x14ac:dyDescent="0.3">
      <c r="A13" s="303" t="s">
        <v>160</v>
      </c>
      <c r="B13" s="76">
        <v>0.6</v>
      </c>
      <c r="C13" s="62"/>
      <c r="D13" s="67">
        <f>ROUNDUP(B13*D10,0)</f>
        <v>135</v>
      </c>
      <c r="E13" s="67" t="s">
        <v>3</v>
      </c>
      <c r="F13" s="92"/>
      <c r="G13" s="93"/>
      <c r="H13" s="67"/>
    </row>
    <row r="14" spans="1:10" ht="20.399999999999999" x14ac:dyDescent="0.3">
      <c r="A14" s="304"/>
      <c r="B14" s="77">
        <v>28</v>
      </c>
      <c r="C14" s="62" t="s">
        <v>162</v>
      </c>
      <c r="D14" s="67">
        <f>B14*D13</f>
        <v>3780</v>
      </c>
      <c r="E14" s="67" t="s">
        <v>4</v>
      </c>
      <c r="F14" s="88">
        <v>90</v>
      </c>
      <c r="G14" s="89">
        <f>F14*D14*1.1</f>
        <v>374220.00000000006</v>
      </c>
      <c r="H14" s="67" t="s">
        <v>473</v>
      </c>
    </row>
    <row r="15" spans="1:10" ht="20.399999999999999" x14ac:dyDescent="0.3">
      <c r="A15" s="303" t="s">
        <v>114</v>
      </c>
      <c r="B15" s="76">
        <v>0.4</v>
      </c>
      <c r="C15" s="62" t="s">
        <v>108</v>
      </c>
      <c r="D15" s="67">
        <f>ROUNDUP(B15*$D$10,0)</f>
        <v>90</v>
      </c>
      <c r="E15" s="67" t="s">
        <v>3</v>
      </c>
      <c r="F15" s="92"/>
      <c r="G15" s="93"/>
      <c r="H15" s="67"/>
    </row>
    <row r="16" spans="1:10" ht="20.399999999999999" x14ac:dyDescent="0.3">
      <c r="A16" s="304"/>
      <c r="B16" s="77">
        <v>28</v>
      </c>
      <c r="C16" s="62" t="s">
        <v>162</v>
      </c>
      <c r="D16" s="67">
        <f>B16*D15</f>
        <v>2520</v>
      </c>
      <c r="E16" s="67" t="s">
        <v>4</v>
      </c>
      <c r="F16" s="88">
        <v>105</v>
      </c>
      <c r="G16" s="89">
        <f>F16*D16*1.1</f>
        <v>291060</v>
      </c>
      <c r="H16" s="67" t="s">
        <v>473</v>
      </c>
    </row>
    <row r="17" spans="1:8" ht="20.399999999999999" x14ac:dyDescent="0.3">
      <c r="A17" s="303" t="s">
        <v>331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8" ht="20.399999999999999" x14ac:dyDescent="0.3">
      <c r="A18" s="304"/>
      <c r="B18" s="77">
        <v>30</v>
      </c>
      <c r="C18" s="62" t="s">
        <v>162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8" ht="20.399999999999999" x14ac:dyDescent="0.3">
      <c r="A19" s="66" t="s">
        <v>299</v>
      </c>
      <c r="B19" s="62">
        <v>1.3</v>
      </c>
      <c r="C19" s="62" t="s">
        <v>313</v>
      </c>
      <c r="D19" s="67">
        <f>(PI()*((0.4^2)/4)*D12+PI()*((0.5^2)/4)*D14+PI()*((0.6^2)/4)*D16)</f>
        <v>1454.7144782447535</v>
      </c>
      <c r="E19" s="67" t="s">
        <v>22</v>
      </c>
      <c r="F19" s="88">
        <f>(535+45+(1.67*0.6))*B19</f>
        <v>755.30259999999998</v>
      </c>
      <c r="G19" s="89">
        <f>F19*D19*1.1</f>
        <v>1208624.5904434966</v>
      </c>
      <c r="H19" s="67"/>
    </row>
    <row r="20" spans="1:8" ht="20.399999999999999" x14ac:dyDescent="0.3">
      <c r="A20" s="66" t="s">
        <v>332</v>
      </c>
      <c r="B20" s="62">
        <v>12</v>
      </c>
      <c r="C20" s="62" t="s">
        <v>34</v>
      </c>
      <c r="D20" s="67">
        <f>B20*D19</f>
        <v>17456.573738937041</v>
      </c>
      <c r="E20" s="67" t="s">
        <v>26</v>
      </c>
      <c r="F20" s="88">
        <v>7.62</v>
      </c>
      <c r="G20" s="89">
        <f>F20*D20*1.1</f>
        <v>146321.0010797703</v>
      </c>
      <c r="H20" s="67"/>
    </row>
    <row r="21" spans="1:8" ht="20.399999999999999" x14ac:dyDescent="0.3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</row>
    <row r="22" spans="1:8" ht="20.399999999999999" x14ac:dyDescent="0.3">
      <c r="A22" s="66" t="s">
        <v>300</v>
      </c>
      <c r="B22" s="62"/>
      <c r="C22" s="62"/>
      <c r="D22" s="67">
        <f>D10</f>
        <v>224</v>
      </c>
      <c r="E22" s="67" t="s">
        <v>3</v>
      </c>
      <c r="F22" s="88">
        <v>300</v>
      </c>
      <c r="G22" s="89">
        <f>F22*D22*1</f>
        <v>67200</v>
      </c>
      <c r="H22" s="67"/>
    </row>
    <row r="23" spans="1:8" ht="20.399999999999999" x14ac:dyDescent="0.3">
      <c r="A23" s="296" t="s">
        <v>17</v>
      </c>
      <c r="B23" s="296"/>
      <c r="C23" s="296"/>
      <c r="D23" s="296"/>
      <c r="E23" s="296"/>
      <c r="F23" s="296"/>
      <c r="G23" s="90">
        <f>SUM(G10:G22)</f>
        <v>2101175.5915232669</v>
      </c>
      <c r="H23" s="90"/>
    </row>
    <row r="25" spans="1:8" ht="20.399999999999999" x14ac:dyDescent="0.3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0.399999999999999" x14ac:dyDescent="0.3">
      <c r="A26" s="56"/>
      <c r="B26" s="56"/>
      <c r="C26" s="56"/>
      <c r="D26" s="57"/>
      <c r="E26" s="57"/>
      <c r="F26" s="99"/>
      <c r="G26" s="100"/>
      <c r="H26" s="100"/>
    </row>
    <row r="27" spans="1:8" ht="20.399999999999999" x14ac:dyDescent="0.3">
      <c r="A27" s="63" t="s">
        <v>14</v>
      </c>
      <c r="B27" s="301" t="s">
        <v>5</v>
      </c>
      <c r="C27" s="302"/>
      <c r="D27" s="301" t="s">
        <v>18</v>
      </c>
      <c r="E27" s="302"/>
      <c r="F27" s="101" t="s">
        <v>118</v>
      </c>
      <c r="G27" s="90" t="s">
        <v>16</v>
      </c>
      <c r="H27" s="90" t="s">
        <v>298</v>
      </c>
    </row>
    <row r="28" spans="1:8" ht="40.799999999999997" x14ac:dyDescent="0.3">
      <c r="A28" s="66" t="s">
        <v>111</v>
      </c>
      <c r="B28" s="62">
        <v>0.76</v>
      </c>
      <c r="C28" s="62" t="s">
        <v>113</v>
      </c>
      <c r="D28" s="67">
        <f>B28*DADOS_INICIAIS!E25</f>
        <v>1131.0624</v>
      </c>
      <c r="E28" s="67" t="s">
        <v>2</v>
      </c>
      <c r="F28" s="88">
        <v>68</v>
      </c>
      <c r="G28" s="89">
        <f>F28*D28*1.1</f>
        <v>84603.467520000006</v>
      </c>
      <c r="H28" s="67"/>
    </row>
    <row r="29" spans="1:8" ht="20.399999999999999" x14ac:dyDescent="0.3">
      <c r="A29" s="66" t="s">
        <v>299</v>
      </c>
      <c r="B29" s="62">
        <v>0.23</v>
      </c>
      <c r="C29" s="62" t="s">
        <v>112</v>
      </c>
      <c r="D29" s="67">
        <f>B29*DADOS_INICIAIS!E25</f>
        <v>342.29520000000002</v>
      </c>
      <c r="E29" s="67" t="s">
        <v>22</v>
      </c>
      <c r="F29" s="88">
        <f>(535+45+(1.67*0.6))*1.05</f>
        <v>610.0521</v>
      </c>
      <c r="G29" s="89">
        <f>F29*D29*1.1</f>
        <v>229699.69613791205</v>
      </c>
      <c r="H29" s="67"/>
    </row>
    <row r="30" spans="1:8" ht="20.399999999999999" x14ac:dyDescent="0.3">
      <c r="A30" s="66" t="s">
        <v>23</v>
      </c>
      <c r="B30" s="62">
        <v>90</v>
      </c>
      <c r="C30" s="62" t="s">
        <v>34</v>
      </c>
      <c r="D30" s="67">
        <f>B30*D29</f>
        <v>30806.568000000003</v>
      </c>
      <c r="E30" s="67" t="s">
        <v>26</v>
      </c>
      <c r="F30" s="88">
        <v>7.62</v>
      </c>
      <c r="G30" s="89">
        <f>F30*D30*1.1</f>
        <v>258220.65297600007</v>
      </c>
      <c r="H30" s="67"/>
    </row>
    <row r="31" spans="1:8" ht="20.399999999999999" x14ac:dyDescent="0.3">
      <c r="A31" s="66" t="s">
        <v>474</v>
      </c>
      <c r="B31" s="62">
        <v>1</v>
      </c>
      <c r="C31" s="62" t="s">
        <v>113</v>
      </c>
      <c r="D31" s="67">
        <f>B31*DADOS_INICIAIS!E25</f>
        <v>1488.24</v>
      </c>
      <c r="E31" s="67" t="s">
        <v>2</v>
      </c>
      <c r="F31" s="203">
        <f>D39+D40+D41</f>
        <v>172.44521</v>
      </c>
      <c r="G31" s="89">
        <f>F31*D31*1.1</f>
        <v>282303.84526344005</v>
      </c>
      <c r="H31" s="67"/>
    </row>
    <row r="32" spans="1:8" ht="20.399999999999999" x14ac:dyDescent="0.3">
      <c r="A32" s="66" t="s">
        <v>25</v>
      </c>
      <c r="B32" s="62">
        <f>SUPRAESTRUTURA!B15*1.5</f>
        <v>360</v>
      </c>
      <c r="C32" s="62" t="s">
        <v>102</v>
      </c>
      <c r="D32" s="67">
        <f>DADOS_INICIAIS!E25</f>
        <v>1488.24</v>
      </c>
      <c r="E32" s="67" t="s">
        <v>2</v>
      </c>
      <c r="F32" s="88">
        <f>B32</f>
        <v>360</v>
      </c>
      <c r="G32" s="89">
        <f>F32*D32*1.1</f>
        <v>589343.04</v>
      </c>
      <c r="H32" s="67"/>
    </row>
    <row r="33" spans="1:8" ht="20.399999999999999" x14ac:dyDescent="0.3">
      <c r="A33" s="296" t="s">
        <v>17</v>
      </c>
      <c r="B33" s="296"/>
      <c r="C33" s="296"/>
      <c r="D33" s="296"/>
      <c r="E33" s="296"/>
      <c r="F33" s="296"/>
      <c r="G33" s="90">
        <f>SUM(G28:G32)</f>
        <v>1444170.7018973522</v>
      </c>
      <c r="H33" s="90"/>
    </row>
    <row r="35" spans="1:8" x14ac:dyDescent="0.3">
      <c r="D35" s="86"/>
      <c r="E35" s="87"/>
    </row>
    <row r="36" spans="1:8" ht="20.399999999999999" x14ac:dyDescent="0.3">
      <c r="A36" s="306" t="s">
        <v>104</v>
      </c>
      <c r="B36" s="307"/>
      <c r="C36" s="307"/>
      <c r="D36" s="307"/>
      <c r="E36" s="307"/>
      <c r="F36" s="308"/>
      <c r="G36" s="91">
        <f>G23+G33</f>
        <v>3545346.2934206193</v>
      </c>
      <c r="H36" s="91">
        <f>G36/DADOS_INICIAIS!E9</f>
        <v>269.65360642029447</v>
      </c>
    </row>
    <row r="38" spans="1:8" x14ac:dyDescent="0.3">
      <c r="H38" s="94">
        <f>H36/1.1</f>
        <v>245.13964220026767</v>
      </c>
    </row>
    <row r="39" spans="1:8" x14ac:dyDescent="0.3">
      <c r="B39" s="55" t="s">
        <v>475</v>
      </c>
      <c r="C39" s="250">
        <f>0.1</f>
        <v>0.1</v>
      </c>
      <c r="D39" s="81">
        <f>C39*F29</f>
        <v>61.005210000000005</v>
      </c>
    </row>
    <row r="40" spans="1:8" x14ac:dyDescent="0.3">
      <c r="B40" s="55" t="s">
        <v>476</v>
      </c>
      <c r="C40" s="55">
        <f>C39*120</f>
        <v>12</v>
      </c>
      <c r="D40" s="81">
        <f>C40*F30</f>
        <v>91.44</v>
      </c>
    </row>
    <row r="41" spans="1:8" x14ac:dyDescent="0.3">
      <c r="B41" s="55" t="s">
        <v>477</v>
      </c>
      <c r="C41" s="250">
        <v>1</v>
      </c>
      <c r="D41" s="81">
        <f>C41*20</f>
        <v>20</v>
      </c>
    </row>
  </sheetData>
  <mergeCells count="12">
    <mergeCell ref="A33:F33"/>
    <mergeCell ref="A36:F36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05D2-31BC-475C-B9D7-6D3BFDD48640}">
  <sheetPr>
    <tabColor rgb="FF92D050"/>
  </sheetPr>
  <dimension ref="A1:J44"/>
  <sheetViews>
    <sheetView showGridLines="0" topLeftCell="A14" zoomScale="80" zoomScaleNormal="80" zoomScaleSheetLayoutView="95" workbookViewId="0">
      <selection activeCell="B30" sqref="B30:C30"/>
    </sheetView>
  </sheetViews>
  <sheetFormatPr defaultColWidth="9.109375" defaultRowHeight="14.4" x14ac:dyDescent="0.3"/>
  <cols>
    <col min="1" max="1" width="50.109375" style="55" customWidth="1"/>
    <col min="2" max="3" width="21.6640625" style="55" customWidth="1"/>
    <col min="4" max="4" width="16.5546875" style="81" customWidth="1"/>
    <col min="5" max="5" width="19.5546875" style="82" customWidth="1"/>
    <col min="6" max="6" width="20.88671875" style="94" customWidth="1"/>
    <col min="7" max="7" width="23.109375" style="94" bestFit="1" customWidth="1"/>
    <col min="8" max="8" width="69.44140625" style="94" customWidth="1"/>
    <col min="9" max="9" width="12" style="55" bestFit="1" customWidth="1"/>
    <col min="10" max="10" width="13.109375" style="55" bestFit="1" customWidth="1"/>
    <col min="11" max="11" width="11" style="55" bestFit="1" customWidth="1"/>
    <col min="12" max="13" width="9.109375" style="55"/>
    <col min="14" max="15" width="11" style="55" bestFit="1" customWidth="1"/>
    <col min="16" max="16384" width="9.109375" style="55"/>
  </cols>
  <sheetData>
    <row r="1" spans="1:10" x14ac:dyDescent="0.3">
      <c r="D1" s="79"/>
      <c r="E1" s="55"/>
      <c r="H1" s="95"/>
      <c r="I1" s="80"/>
      <c r="J1" s="79"/>
    </row>
    <row r="3" spans="1:10" ht="26.4" x14ac:dyDescent="0.3">
      <c r="A3" s="297" t="s">
        <v>122</v>
      </c>
      <c r="B3" s="305"/>
      <c r="C3" s="305"/>
      <c r="D3" s="298"/>
      <c r="E3" s="298"/>
      <c r="F3" s="298"/>
      <c r="G3" s="298"/>
      <c r="H3" s="299"/>
      <c r="J3" s="79"/>
    </row>
    <row r="4" spans="1:10" ht="19.8" x14ac:dyDescent="0.3">
      <c r="A4" s="185" t="s">
        <v>185</v>
      </c>
      <c r="B4" s="191">
        <v>45719</v>
      </c>
      <c r="C4" s="189"/>
      <c r="D4" s="189"/>
      <c r="E4" s="189"/>
      <c r="F4" s="189"/>
      <c r="G4" s="189"/>
      <c r="H4" s="190"/>
      <c r="J4" s="79"/>
    </row>
    <row r="5" spans="1:10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0.399999999999999" x14ac:dyDescent="0.3">
      <c r="A6" s="83"/>
      <c r="B6" s="83"/>
      <c r="C6" s="83"/>
      <c r="D6" s="83"/>
      <c r="E6" s="83"/>
      <c r="F6" s="96"/>
      <c r="G6" s="97"/>
      <c r="H6" s="97"/>
      <c r="J6" s="79"/>
    </row>
    <row r="7" spans="1:10" ht="20.399999999999999" x14ac:dyDescent="0.3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0.399999999999999" x14ac:dyDescent="0.3">
      <c r="A8" s="56"/>
      <c r="B8" s="56"/>
      <c r="C8" s="56"/>
      <c r="D8" s="57"/>
      <c r="E8" s="57"/>
      <c r="F8" s="99"/>
      <c r="G8" s="100"/>
      <c r="H8" s="100"/>
    </row>
    <row r="9" spans="1:10" ht="20.399999999999999" x14ac:dyDescent="0.3">
      <c r="A9" s="63" t="s">
        <v>14</v>
      </c>
      <c r="B9" s="301" t="s">
        <v>5</v>
      </c>
      <c r="C9" s="302"/>
      <c r="D9" s="301" t="s">
        <v>18</v>
      </c>
      <c r="E9" s="302"/>
      <c r="F9" s="101" t="s">
        <v>118</v>
      </c>
      <c r="G9" s="90" t="s">
        <v>16</v>
      </c>
      <c r="H9" s="90" t="s">
        <v>298</v>
      </c>
    </row>
    <row r="10" spans="1:10" ht="20.399999999999999" x14ac:dyDescent="0.3">
      <c r="A10" s="66" t="s">
        <v>107</v>
      </c>
      <c r="B10" s="62">
        <v>2</v>
      </c>
      <c r="C10" s="62" t="s">
        <v>822</v>
      </c>
      <c r="D10" s="67">
        <f>ROUND(B10*D31,0)</f>
        <v>316</v>
      </c>
      <c r="E10" s="67" t="s">
        <v>3</v>
      </c>
      <c r="F10" s="92"/>
      <c r="G10" s="93"/>
      <c r="H10" s="67" t="s">
        <v>341</v>
      </c>
    </row>
    <row r="11" spans="1:10" ht="20.399999999999999" x14ac:dyDescent="0.3">
      <c r="A11" s="303" t="s">
        <v>161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0.399999999999999" x14ac:dyDescent="0.3">
      <c r="A12" s="304"/>
      <c r="B12" s="77">
        <v>28</v>
      </c>
      <c r="C12" s="62" t="s">
        <v>162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0.399999999999999" x14ac:dyDescent="0.3">
      <c r="A13" s="303" t="s">
        <v>160</v>
      </c>
      <c r="B13" s="76">
        <v>1</v>
      </c>
      <c r="C13" s="62"/>
      <c r="D13" s="67">
        <f>ROUNDUP(B13*D10,0)</f>
        <v>316</v>
      </c>
      <c r="E13" s="67" t="s">
        <v>3</v>
      </c>
      <c r="F13" s="92"/>
      <c r="G13" s="93"/>
      <c r="H13" s="67"/>
    </row>
    <row r="14" spans="1:10" ht="20.399999999999999" x14ac:dyDescent="0.3">
      <c r="A14" s="304"/>
      <c r="B14" s="77">
        <f>D32</f>
        <v>9</v>
      </c>
      <c r="C14" s="62" t="s">
        <v>162</v>
      </c>
      <c r="D14" s="67">
        <f>B14*D13</f>
        <v>2844</v>
      </c>
      <c r="E14" s="67" t="s">
        <v>4</v>
      </c>
      <c r="F14" s="88">
        <v>90</v>
      </c>
      <c r="G14" s="89">
        <f>F14*D14*1.1</f>
        <v>281556</v>
      </c>
      <c r="H14" s="67"/>
    </row>
    <row r="15" spans="1:10" ht="20.399999999999999" x14ac:dyDescent="0.3">
      <c r="A15" s="303" t="s">
        <v>114</v>
      </c>
      <c r="B15" s="76">
        <v>0</v>
      </c>
      <c r="C15" s="62" t="s">
        <v>108</v>
      </c>
      <c r="D15" s="67">
        <f>ROUNDUP(B15*$D$10,0)</f>
        <v>0</v>
      </c>
      <c r="E15" s="67" t="s">
        <v>3</v>
      </c>
      <c r="F15" s="92"/>
      <c r="G15" s="93"/>
      <c r="H15" s="67"/>
    </row>
    <row r="16" spans="1:10" ht="20.399999999999999" x14ac:dyDescent="0.3">
      <c r="A16" s="304"/>
      <c r="B16" s="77">
        <v>28</v>
      </c>
      <c r="C16" s="62" t="s">
        <v>162</v>
      </c>
      <c r="D16" s="67">
        <f>B16*D15</f>
        <v>0</v>
      </c>
      <c r="E16" s="67" t="s">
        <v>4</v>
      </c>
      <c r="F16" s="88">
        <v>105</v>
      </c>
      <c r="G16" s="89">
        <f>F16*D16*1.1</f>
        <v>0</v>
      </c>
      <c r="H16" s="67"/>
    </row>
    <row r="17" spans="1:10" ht="20.399999999999999" x14ac:dyDescent="0.3">
      <c r="A17" s="303" t="s">
        <v>331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10" ht="20.399999999999999" x14ac:dyDescent="0.3">
      <c r="A18" s="304"/>
      <c r="B18" s="77">
        <v>30</v>
      </c>
      <c r="C18" s="62" t="s">
        <v>162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10" ht="20.399999999999999" x14ac:dyDescent="0.3">
      <c r="A19" s="66" t="s">
        <v>503</v>
      </c>
      <c r="B19" s="62">
        <v>1.3</v>
      </c>
      <c r="C19" s="62" t="s">
        <v>313</v>
      </c>
      <c r="D19" s="67">
        <f>(PI()*((0.4^2)/4)*D12+PI()*((0.5^2)/4)*D14+PI()*((0.6^2)/4)*D16)</f>
        <v>558.41809417558568</v>
      </c>
      <c r="E19" s="67" t="s">
        <v>22</v>
      </c>
      <c r="F19" s="88">
        <f>(535*1.22+45+(1.67*0.6))*1.05</f>
        <v>733.63709999999992</v>
      </c>
      <c r="G19" s="89">
        <f>F19*D19*B19*1.1</f>
        <v>585837.0106138601</v>
      </c>
      <c r="H19" s="67"/>
    </row>
    <row r="20" spans="1:10" ht="20.399999999999999" x14ac:dyDescent="0.3">
      <c r="A20" s="66" t="s">
        <v>332</v>
      </c>
      <c r="B20" s="62">
        <v>12</v>
      </c>
      <c r="C20" s="62" t="s">
        <v>34</v>
      </c>
      <c r="D20" s="67">
        <f>B20*D19</f>
        <v>6701.0171301070277</v>
      </c>
      <c r="E20" s="67" t="s">
        <v>26</v>
      </c>
      <c r="F20" s="88">
        <v>7.62</v>
      </c>
      <c r="G20" s="89">
        <f>F20*D20*1.1</f>
        <v>56167.92558455711</v>
      </c>
      <c r="H20" s="67"/>
    </row>
    <row r="21" spans="1:10" ht="20.399999999999999" x14ac:dyDescent="0.3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/>
    </row>
    <row r="22" spans="1:10" ht="20.399999999999999" x14ac:dyDescent="0.3">
      <c r="A22" s="66" t="s">
        <v>825</v>
      </c>
      <c r="B22" s="62">
        <v>3081.63</v>
      </c>
      <c r="C22" s="62" t="s">
        <v>826</v>
      </c>
      <c r="D22" s="67">
        <f>D31</f>
        <v>157.96</v>
      </c>
      <c r="E22" s="67" t="s">
        <v>4</v>
      </c>
      <c r="F22" s="88">
        <f>B22</f>
        <v>3081.63</v>
      </c>
      <c r="G22" s="89"/>
      <c r="H22" s="67"/>
    </row>
    <row r="23" spans="1:10" ht="20.399999999999999" x14ac:dyDescent="0.3">
      <c r="A23" s="66" t="s">
        <v>300</v>
      </c>
      <c r="B23" s="62"/>
      <c r="C23" s="62"/>
      <c r="D23" s="67">
        <f>D10</f>
        <v>316</v>
      </c>
      <c r="E23" s="67" t="s">
        <v>3</v>
      </c>
      <c r="F23" s="88">
        <v>300</v>
      </c>
      <c r="G23" s="89">
        <f>F23*D23*1</f>
        <v>94800</v>
      </c>
      <c r="H23" s="67"/>
    </row>
    <row r="24" spans="1:10" ht="20.399999999999999" x14ac:dyDescent="0.3">
      <c r="A24" s="66" t="s">
        <v>824</v>
      </c>
      <c r="B24" s="62"/>
      <c r="C24" s="62"/>
      <c r="D24" s="67">
        <f>D31</f>
        <v>157.96</v>
      </c>
      <c r="E24" s="67" t="s">
        <v>2</v>
      </c>
      <c r="F24" s="88">
        <v>384.56</v>
      </c>
      <c r="G24" s="89">
        <f>F24*D24*1</f>
        <v>60745.097600000001</v>
      </c>
      <c r="H24" s="67"/>
    </row>
    <row r="25" spans="1:10" ht="20.399999999999999" x14ac:dyDescent="0.3">
      <c r="A25" s="66" t="s">
        <v>823</v>
      </c>
      <c r="B25" s="62"/>
      <c r="C25" s="62"/>
      <c r="D25" s="67">
        <f>D31*D32</f>
        <v>1421.64</v>
      </c>
      <c r="E25" s="67" t="s">
        <v>2</v>
      </c>
      <c r="F25" s="88">
        <f>J29/D25</f>
        <v>264.96000000000004</v>
      </c>
      <c r="G25" s="89">
        <f>F25*D25*1</f>
        <v>376677.73440000007</v>
      </c>
      <c r="H25" s="67"/>
      <c r="I25" s="252">
        <f>D25</f>
        <v>1421.64</v>
      </c>
      <c r="J25" s="252">
        <f>I25*[4]Infraestrutura!$F$49</f>
        <v>71082</v>
      </c>
    </row>
    <row r="26" spans="1:10" ht="20.399999999999999" x14ac:dyDescent="0.3">
      <c r="A26" s="296" t="s">
        <v>17</v>
      </c>
      <c r="B26" s="296"/>
      <c r="C26" s="296"/>
      <c r="D26" s="296"/>
      <c r="E26" s="296"/>
      <c r="F26" s="296"/>
      <c r="G26" s="90">
        <f>SUM(G10:G25)</f>
        <v>1469533.7681984175</v>
      </c>
      <c r="H26" s="90"/>
      <c r="I26" s="252">
        <f>D25*0.1</f>
        <v>142.16400000000002</v>
      </c>
      <c r="J26" s="252">
        <f>[4]Infraestrutura!$F$50*I26</f>
        <v>83876.760000000009</v>
      </c>
    </row>
    <row r="27" spans="1:10" x14ac:dyDescent="0.3">
      <c r="I27" s="252">
        <f>[4]Infraestrutura!$F$51*I26</f>
        <v>11373.12</v>
      </c>
      <c r="J27" s="55">
        <f>I27*F20</f>
        <v>86663.174400000004</v>
      </c>
    </row>
    <row r="28" spans="1:10" ht="20.399999999999999" x14ac:dyDescent="0.3">
      <c r="A28" s="52" t="s">
        <v>297</v>
      </c>
      <c r="B28" s="52"/>
      <c r="C28" s="52"/>
      <c r="D28" s="53"/>
      <c r="E28" s="53"/>
      <c r="F28" s="98"/>
      <c r="G28" s="98"/>
      <c r="H28" s="98"/>
      <c r="I28" s="252">
        <f>I26</f>
        <v>142.16400000000002</v>
      </c>
      <c r="J28" s="252">
        <f>[4]Infraestrutura!$F$52*I28</f>
        <v>135055.80000000002</v>
      </c>
    </row>
    <row r="29" spans="1:10" ht="20.399999999999999" x14ac:dyDescent="0.3">
      <c r="A29" s="56"/>
      <c r="B29" s="56"/>
      <c r="C29" s="56"/>
      <c r="D29" s="57"/>
      <c r="E29" s="57"/>
      <c r="F29" s="99"/>
      <c r="G29" s="100"/>
      <c r="H29" s="100"/>
      <c r="J29" s="252">
        <f>J25+J26+J27+J28</f>
        <v>376677.73440000007</v>
      </c>
    </row>
    <row r="30" spans="1:10" ht="20.399999999999999" x14ac:dyDescent="0.3">
      <c r="A30" s="63" t="s">
        <v>14</v>
      </c>
      <c r="B30" s="301" t="s">
        <v>5</v>
      </c>
      <c r="C30" s="302"/>
      <c r="D30" s="301" t="s">
        <v>18</v>
      </c>
      <c r="E30" s="302"/>
      <c r="F30" s="101" t="s">
        <v>118</v>
      </c>
      <c r="G30" s="90" t="s">
        <v>16</v>
      </c>
      <c r="H30" s="90" t="s">
        <v>298</v>
      </c>
    </row>
    <row r="31" spans="1:10" ht="20.399999999999999" x14ac:dyDescent="0.3">
      <c r="A31" s="66" t="s">
        <v>377</v>
      </c>
      <c r="B31" s="62"/>
      <c r="C31" s="62"/>
      <c r="D31" s="67">
        <f>DADOS_INICIAIS!E26</f>
        <v>157.96</v>
      </c>
      <c r="E31" s="67" t="s">
        <v>4</v>
      </c>
      <c r="F31" s="92"/>
      <c r="G31" s="93"/>
      <c r="H31" s="67">
        <f>D31*D32</f>
        <v>1421.64</v>
      </c>
    </row>
    <row r="32" spans="1:10" ht="20.399999999999999" x14ac:dyDescent="0.3">
      <c r="A32" s="66" t="s">
        <v>378</v>
      </c>
      <c r="B32" s="62"/>
      <c r="C32" s="62"/>
      <c r="D32" s="67">
        <f>6+3</f>
        <v>9</v>
      </c>
      <c r="E32" s="67" t="s">
        <v>4</v>
      </c>
      <c r="F32" s="92"/>
      <c r="G32" s="93"/>
      <c r="H32" s="67"/>
    </row>
    <row r="33" spans="1:8" ht="20.399999999999999" x14ac:dyDescent="0.3">
      <c r="A33" s="66" t="s">
        <v>500</v>
      </c>
      <c r="B33" s="62"/>
      <c r="C33" s="62"/>
      <c r="D33" s="67">
        <f>D31</f>
        <v>157.96</v>
      </c>
      <c r="E33" s="67" t="s">
        <v>4</v>
      </c>
      <c r="F33" s="88">
        <v>710</v>
      </c>
      <c r="G33" s="89">
        <f>F33*D33*1.1</f>
        <v>123366.76000000001</v>
      </c>
      <c r="H33" s="67"/>
    </row>
    <row r="34" spans="1:8" ht="20.399999999999999" x14ac:dyDescent="0.3">
      <c r="A34" s="66" t="s">
        <v>501</v>
      </c>
      <c r="B34" s="62"/>
      <c r="C34" s="62"/>
      <c r="D34" s="67">
        <f>D31*D32</f>
        <v>1421.64</v>
      </c>
      <c r="E34" s="67" t="s">
        <v>2</v>
      </c>
      <c r="F34" s="88">
        <v>270</v>
      </c>
      <c r="G34" s="89">
        <f>F34*D34</f>
        <v>383842.80000000005</v>
      </c>
      <c r="H34" s="67"/>
    </row>
    <row r="35" spans="1:8" ht="20.399999999999999" x14ac:dyDescent="0.3">
      <c r="A35" s="66" t="s">
        <v>502</v>
      </c>
      <c r="B35" s="62"/>
      <c r="C35" s="62"/>
      <c r="D35" s="67">
        <v>1</v>
      </c>
      <c r="E35" s="67" t="s">
        <v>27</v>
      </c>
      <c r="F35" s="88">
        <v>18000</v>
      </c>
      <c r="G35" s="89">
        <f>F35</f>
        <v>18000</v>
      </c>
      <c r="H35" s="67"/>
    </row>
    <row r="36" spans="1:8" ht="20.399999999999999" x14ac:dyDescent="0.3">
      <c r="A36" s="66" t="s">
        <v>332</v>
      </c>
      <c r="B36" s="62">
        <v>112</v>
      </c>
      <c r="C36" s="62" t="s">
        <v>34</v>
      </c>
      <c r="D36" s="67">
        <f>B36*D37</f>
        <v>47767.103999999992</v>
      </c>
      <c r="E36" s="67" t="s">
        <v>26</v>
      </c>
      <c r="F36" s="88">
        <v>7.62</v>
      </c>
      <c r="G36" s="89">
        <f>F36*D36</f>
        <v>363985.33247999992</v>
      </c>
      <c r="H36" s="67"/>
    </row>
    <row r="37" spans="1:8" ht="20.399999999999999" x14ac:dyDescent="0.3">
      <c r="A37" s="66" t="s">
        <v>503</v>
      </c>
      <c r="B37" s="62">
        <v>0.3</v>
      </c>
      <c r="C37" s="62" t="s">
        <v>505</v>
      </c>
      <c r="D37" s="67">
        <f>B37*D32*D31</f>
        <v>426.49199999999996</v>
      </c>
      <c r="E37" s="67" t="s">
        <v>22</v>
      </c>
      <c r="F37" s="88">
        <f>(535*1.22+45+(1.67*0.6))*1.05</f>
        <v>733.63709999999992</v>
      </c>
      <c r="G37" s="89">
        <f>F37*D37*1.05</f>
        <v>328534.87175585993</v>
      </c>
      <c r="H37" s="67"/>
    </row>
    <row r="38" spans="1:8" ht="40.799999999999997" x14ac:dyDescent="0.3">
      <c r="A38" s="66" t="s">
        <v>504</v>
      </c>
      <c r="B38" s="62"/>
      <c r="C38" s="62"/>
      <c r="D38" s="67">
        <f>ROUNDUP(D31/1.25,0)*6</f>
        <v>762</v>
      </c>
      <c r="E38" s="67" t="s">
        <v>4</v>
      </c>
      <c r="F38" s="88">
        <v>41.5</v>
      </c>
      <c r="G38" s="89">
        <f>F38*D38*1.1</f>
        <v>34785.300000000003</v>
      </c>
      <c r="H38" s="67"/>
    </row>
    <row r="39" spans="1:8" ht="20.399999999999999" x14ac:dyDescent="0.3">
      <c r="A39" s="296" t="s">
        <v>17</v>
      </c>
      <c r="B39" s="296"/>
      <c r="C39" s="296"/>
      <c r="D39" s="296"/>
      <c r="E39" s="296"/>
      <c r="F39" s="296"/>
      <c r="G39" s="90">
        <f>SUM(G31:G38)</f>
        <v>1252515.0642358598</v>
      </c>
      <c r="H39" s="90"/>
    </row>
    <row r="41" spans="1:8" x14ac:dyDescent="0.3">
      <c r="D41" s="86"/>
      <c r="E41" s="87"/>
    </row>
    <row r="42" spans="1:8" ht="20.399999999999999" x14ac:dyDescent="0.3">
      <c r="A42" s="306" t="s">
        <v>379</v>
      </c>
      <c r="B42" s="307"/>
      <c r="C42" s="307"/>
      <c r="D42" s="307"/>
      <c r="E42" s="307"/>
      <c r="F42" s="308"/>
      <c r="G42" s="91">
        <f>G39</f>
        <v>1252515.0642358598</v>
      </c>
      <c r="H42" s="91">
        <f>G42/DADOS_INICIAIS!E9</f>
        <v>95.264376513438748</v>
      </c>
    </row>
    <row r="44" spans="1:8" x14ac:dyDescent="0.3">
      <c r="H44" s="94">
        <f>H42/1.1</f>
        <v>86.603978648580679</v>
      </c>
    </row>
  </sheetData>
  <mergeCells count="12">
    <mergeCell ref="A42:F42"/>
    <mergeCell ref="A3:H3"/>
    <mergeCell ref="B9:C9"/>
    <mergeCell ref="D9:E9"/>
    <mergeCell ref="A11:A12"/>
    <mergeCell ref="A13:A14"/>
    <mergeCell ref="A15:A16"/>
    <mergeCell ref="A17:A18"/>
    <mergeCell ref="A26:F26"/>
    <mergeCell ref="B30:C30"/>
    <mergeCell ref="D30:E30"/>
    <mergeCell ref="A39:F3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5"/>
  <sheetViews>
    <sheetView showGridLines="0" topLeftCell="A20" zoomScale="80" zoomScaleNormal="80" zoomScaleSheetLayoutView="95" workbookViewId="0">
      <selection activeCell="A25" sqref="A25:H28"/>
    </sheetView>
  </sheetViews>
  <sheetFormatPr defaultColWidth="9.109375" defaultRowHeight="14.4" x14ac:dyDescent="0.3"/>
  <cols>
    <col min="1" max="1" width="50.109375" style="55" customWidth="1"/>
    <col min="2" max="3" width="21.6640625" style="55" customWidth="1"/>
    <col min="4" max="4" width="16.5546875" style="81" customWidth="1"/>
    <col min="5" max="5" width="19.5546875" style="82" customWidth="1"/>
    <col min="6" max="6" width="20.88671875" style="55" customWidth="1"/>
    <col min="7" max="7" width="26.88671875" style="55" customWidth="1"/>
    <col min="8" max="8" width="58.33203125" style="55" customWidth="1"/>
    <col min="9" max="9" width="14.5546875" style="55" customWidth="1"/>
    <col min="10" max="10" width="9.109375" style="55"/>
    <col min="11" max="11" width="11" style="55" bestFit="1" customWidth="1"/>
    <col min="12" max="12" width="11.33203125" style="55" bestFit="1" customWidth="1"/>
    <col min="13" max="13" width="9.109375" style="55"/>
    <col min="14" max="15" width="11" style="55" bestFit="1" customWidth="1"/>
    <col min="16" max="16384" width="9.109375" style="55"/>
  </cols>
  <sheetData>
    <row r="1" spans="1:10" x14ac:dyDescent="0.3">
      <c r="D1" s="79"/>
      <c r="E1" s="55"/>
      <c r="H1" s="80"/>
      <c r="I1" s="80"/>
      <c r="J1" s="79"/>
    </row>
    <row r="3" spans="1:10" ht="26.4" x14ac:dyDescent="0.3">
      <c r="A3" s="297" t="s">
        <v>28</v>
      </c>
      <c r="B3" s="305"/>
      <c r="C3" s="305"/>
      <c r="D3" s="298"/>
      <c r="E3" s="298"/>
      <c r="F3" s="298"/>
      <c r="G3" s="298"/>
      <c r="H3" s="299"/>
      <c r="J3" s="79"/>
    </row>
    <row r="4" spans="1:10" ht="19.8" x14ac:dyDescent="0.3">
      <c r="A4" s="185" t="s">
        <v>185</v>
      </c>
      <c r="B4" s="191">
        <v>45472</v>
      </c>
      <c r="C4" s="189"/>
      <c r="D4" s="189"/>
      <c r="E4" s="189"/>
      <c r="F4" s="189"/>
      <c r="G4" s="189"/>
      <c r="H4" s="190"/>
      <c r="J4" s="79"/>
    </row>
    <row r="5" spans="1:10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0.399999999999999" x14ac:dyDescent="0.3">
      <c r="A6" s="83"/>
      <c r="B6" s="83"/>
      <c r="C6" s="83"/>
      <c r="D6" s="83"/>
      <c r="E6" s="83"/>
      <c r="F6" s="84"/>
      <c r="G6" s="85"/>
      <c r="H6" s="85"/>
      <c r="J6" s="79"/>
    </row>
    <row r="7" spans="1:10" ht="20.399999999999999" x14ac:dyDescent="0.3">
      <c r="A7" s="52" t="s">
        <v>305</v>
      </c>
      <c r="B7" s="52"/>
      <c r="C7" s="52"/>
      <c r="D7" s="53"/>
      <c r="E7" s="53"/>
      <c r="F7" s="54"/>
      <c r="G7" s="53"/>
      <c r="H7" s="53"/>
    </row>
    <row r="8" spans="1:10" ht="20.399999999999999" x14ac:dyDescent="0.3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0" ht="20.399999999999999" x14ac:dyDescent="0.3">
      <c r="A10" s="66" t="s">
        <v>29</v>
      </c>
      <c r="B10" s="62">
        <v>3</v>
      </c>
      <c r="C10" s="62" t="s">
        <v>304</v>
      </c>
      <c r="D10" s="67">
        <f>(D11/DADOS_INICIAIS!$E$15)*B10</f>
        <v>7585.2576923076931</v>
      </c>
      <c r="E10" s="67" t="s">
        <v>2</v>
      </c>
      <c r="F10" s="88">
        <v>110</v>
      </c>
      <c r="G10" s="89">
        <f>F10*D10*1.1</f>
        <v>917816.18076923094</v>
      </c>
      <c r="H10" s="67"/>
    </row>
    <row r="11" spans="1:10" ht="20.399999999999999" x14ac:dyDescent="0.3">
      <c r="A11" s="78" t="s">
        <v>30</v>
      </c>
      <c r="B11" s="62">
        <v>2.5</v>
      </c>
      <c r="C11" s="62" t="s">
        <v>37</v>
      </c>
      <c r="D11" s="67">
        <f>B11*DADOS_INICIAIS!$E$9</f>
        <v>32869.450000000004</v>
      </c>
      <c r="E11" s="67" t="s">
        <v>2</v>
      </c>
      <c r="F11" s="88">
        <v>2.5</v>
      </c>
      <c r="G11" s="89">
        <f>F11*D11*1.1</f>
        <v>90390.987500000017</v>
      </c>
      <c r="H11" s="67"/>
    </row>
    <row r="12" spans="1:10" ht="20.399999999999999" x14ac:dyDescent="0.3">
      <c r="A12" s="78" t="s">
        <v>315</v>
      </c>
      <c r="B12" s="62">
        <v>4</v>
      </c>
      <c r="C12" s="62" t="s">
        <v>164</v>
      </c>
      <c r="D12" s="67">
        <f>ROUNDUP(B12*DADOS_INICIAIS!$E$25*B10,0)</f>
        <v>17859</v>
      </c>
      <c r="E12" s="67" t="s">
        <v>3</v>
      </c>
      <c r="F12" s="88">
        <f>17</f>
        <v>17</v>
      </c>
      <c r="G12" s="89">
        <f>F12*D12*1.1</f>
        <v>333963.30000000005</v>
      </c>
      <c r="H12" s="67"/>
      <c r="I12" s="194"/>
    </row>
    <row r="13" spans="1:10" ht="20.399999999999999" x14ac:dyDescent="0.3">
      <c r="A13" s="66" t="s">
        <v>99</v>
      </c>
      <c r="B13" s="62">
        <v>0.22</v>
      </c>
      <c r="C13" s="62" t="s">
        <v>38</v>
      </c>
      <c r="D13" s="67">
        <f>B13*DADOS_INICIAIS!$E$9</f>
        <v>2892.5116000000003</v>
      </c>
      <c r="E13" s="67" t="s">
        <v>22</v>
      </c>
      <c r="F13" s="88">
        <f>(535+45+(1.67*0.6))*1.05</f>
        <v>610.0521</v>
      </c>
      <c r="G13" s="89">
        <f>F13*D13*1.05*1.1</f>
        <v>2038093.1061117861</v>
      </c>
      <c r="H13" s="67"/>
    </row>
    <row r="14" spans="1:10" ht="20.399999999999999" x14ac:dyDescent="0.3">
      <c r="A14" s="66" t="s">
        <v>31</v>
      </c>
      <c r="B14" s="62">
        <v>110</v>
      </c>
      <c r="C14" s="62" t="s">
        <v>34</v>
      </c>
      <c r="D14" s="67">
        <f>D13*B14</f>
        <v>318176.27600000001</v>
      </c>
      <c r="E14" s="67" t="s">
        <v>26</v>
      </c>
      <c r="F14" s="88">
        <v>7.62</v>
      </c>
      <c r="G14" s="89">
        <f>F14*D14*1.1</f>
        <v>2666953.5454320004</v>
      </c>
      <c r="H14" s="67"/>
    </row>
    <row r="15" spans="1:10" ht="20.399999999999999" x14ac:dyDescent="0.3">
      <c r="A15" s="66" t="s">
        <v>101</v>
      </c>
      <c r="B15" s="62">
        <v>240</v>
      </c>
      <c r="C15" s="62" t="s">
        <v>6</v>
      </c>
      <c r="D15" s="67">
        <f>DADOS_INICIAIS!$E$9</f>
        <v>13147.78</v>
      </c>
      <c r="E15" s="67" t="s">
        <v>2</v>
      </c>
      <c r="F15" s="88">
        <f>B15</f>
        <v>240</v>
      </c>
      <c r="G15" s="89">
        <f>F15*D15*1.1</f>
        <v>3471013.9200000004</v>
      </c>
      <c r="H15" s="67"/>
    </row>
    <row r="16" spans="1:10" ht="20.399999999999999" x14ac:dyDescent="0.3">
      <c r="A16" s="66" t="s">
        <v>301</v>
      </c>
      <c r="B16" s="62">
        <v>5300</v>
      </c>
      <c r="C16" s="62" t="s">
        <v>302</v>
      </c>
      <c r="D16" s="67">
        <v>1</v>
      </c>
      <c r="E16" s="67" t="s">
        <v>27</v>
      </c>
      <c r="F16" s="88">
        <f>B16*DADOS_INICIAIS!$E$15</f>
        <v>68900</v>
      </c>
      <c r="G16" s="89">
        <f>F16*D16*1.1</f>
        <v>75790</v>
      </c>
      <c r="H16" s="67" t="s">
        <v>303</v>
      </c>
      <c r="I16" s="55" t="s">
        <v>308</v>
      </c>
    </row>
    <row r="17" spans="1:12" ht="20.399999999999999" x14ac:dyDescent="0.3">
      <c r="A17" s="296" t="s">
        <v>17</v>
      </c>
      <c r="B17" s="296"/>
      <c r="C17" s="296"/>
      <c r="D17" s="296"/>
      <c r="E17" s="296"/>
      <c r="F17" s="296"/>
      <c r="G17" s="90">
        <f>SUM(G10:G16)</f>
        <v>9594021.0398130175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0.399999999999999" x14ac:dyDescent="0.3">
      <c r="A19" s="201" t="s">
        <v>306</v>
      </c>
      <c r="B19" s="52"/>
      <c r="C19" s="52"/>
      <c r="D19" s="53"/>
      <c r="E19" s="53"/>
      <c r="F19" s="54"/>
      <c r="G19" s="53"/>
      <c r="H19" s="53"/>
    </row>
    <row r="20" spans="1:12" ht="20.399999999999999" x14ac:dyDescent="0.3">
      <c r="A20" s="56"/>
      <c r="B20" s="56"/>
      <c r="C20" s="56"/>
      <c r="D20" s="57"/>
      <c r="E20" s="57"/>
      <c r="F20" s="58"/>
      <c r="G20" s="59"/>
      <c r="H20" s="59"/>
    </row>
    <row r="21" spans="1:12" ht="20.399999999999999" x14ac:dyDescent="0.3">
      <c r="A21" s="63" t="s">
        <v>14</v>
      </c>
      <c r="B21" s="301" t="s">
        <v>5</v>
      </c>
      <c r="C21" s="302"/>
      <c r="D21" s="301" t="s">
        <v>18</v>
      </c>
      <c r="E21" s="302"/>
      <c r="F21" s="65" t="s">
        <v>118</v>
      </c>
      <c r="G21" s="71" t="s">
        <v>16</v>
      </c>
      <c r="H21" s="90" t="s">
        <v>298</v>
      </c>
    </row>
    <row r="22" spans="1:12" ht="20.399999999999999" x14ac:dyDescent="0.3">
      <c r="A22" s="66" t="s">
        <v>29</v>
      </c>
      <c r="B22" s="62">
        <v>2</v>
      </c>
      <c r="C22" s="62" t="s">
        <v>304</v>
      </c>
      <c r="D22" s="67">
        <f>(D23/DADOS_INICIAIS!$E$15)*B22</f>
        <v>5056.8384615384621</v>
      </c>
      <c r="E22" s="67" t="s">
        <v>2</v>
      </c>
      <c r="F22" s="88">
        <v>110</v>
      </c>
      <c r="G22" s="89">
        <f t="shared" ref="G22:G29" si="0">F22*D22*1.1</f>
        <v>611877.45384615404</v>
      </c>
      <c r="H22" s="67"/>
    </row>
    <row r="23" spans="1:12" ht="20.399999999999999" x14ac:dyDescent="0.3">
      <c r="A23" s="78" t="s">
        <v>30</v>
      </c>
      <c r="B23" s="62">
        <v>2.5</v>
      </c>
      <c r="C23" s="62" t="s">
        <v>37</v>
      </c>
      <c r="D23" s="67">
        <f>B23*DADOS_INICIAIS!$E$9</f>
        <v>32869.450000000004</v>
      </c>
      <c r="E23" s="67" t="s">
        <v>2</v>
      </c>
      <c r="F23" s="88">
        <v>2.5</v>
      </c>
      <c r="G23" s="89">
        <f t="shared" si="0"/>
        <v>90390.987500000017</v>
      </c>
      <c r="H23" s="67"/>
    </row>
    <row r="24" spans="1:12" ht="20.399999999999999" x14ac:dyDescent="0.3">
      <c r="A24" s="78" t="s">
        <v>315</v>
      </c>
      <c r="B24" s="62">
        <f>2.5</f>
        <v>2.5</v>
      </c>
      <c r="C24" s="62" t="s">
        <v>827</v>
      </c>
      <c r="D24" s="67">
        <f>ROUNDUP(B24*888.65*B22,0)</f>
        <v>4444</v>
      </c>
      <c r="E24" s="67" t="s">
        <v>3</v>
      </c>
      <c r="F24" s="88">
        <f>4*5</f>
        <v>20</v>
      </c>
      <c r="G24" s="89">
        <f>F24*D24*1.1</f>
        <v>97768.000000000015</v>
      </c>
      <c r="H24" s="67"/>
      <c r="I24" s="194"/>
    </row>
    <row r="25" spans="1:12" ht="20.399999999999999" x14ac:dyDescent="0.3">
      <c r="A25" s="66" t="s">
        <v>116</v>
      </c>
      <c r="B25" s="62"/>
      <c r="C25" s="62"/>
      <c r="D25" s="67">
        <f>14-2</f>
        <v>12</v>
      </c>
      <c r="E25" s="67" t="s">
        <v>381</v>
      </c>
      <c r="F25" s="88">
        <f>H25*0.45*30</f>
        <v>25609.5</v>
      </c>
      <c r="G25" s="89">
        <f t="shared" si="0"/>
        <v>338045.4</v>
      </c>
      <c r="H25" s="67">
        <f>ROUNDUP(DADOS_INICIAIS!E19*B22,0)</f>
        <v>1897</v>
      </c>
    </row>
    <row r="26" spans="1:12" ht="20.399999999999999" x14ac:dyDescent="0.3">
      <c r="A26" s="66" t="s">
        <v>99</v>
      </c>
      <c r="B26" s="62">
        <v>0.25</v>
      </c>
      <c r="C26" s="62" t="s">
        <v>38</v>
      </c>
      <c r="D26" s="67">
        <f>B26*DADOS_INICIAIS!$E$9</f>
        <v>3286.9450000000002</v>
      </c>
      <c r="E26" s="67" t="s">
        <v>22</v>
      </c>
      <c r="F26" s="88">
        <f>(535+45+(1.67*0.6))*1.05</f>
        <v>610.0521</v>
      </c>
      <c r="G26" s="89">
        <f t="shared" si="0"/>
        <v>2205728.4698179499</v>
      </c>
      <c r="H26" s="67"/>
    </row>
    <row r="27" spans="1:12" ht="20.399999999999999" x14ac:dyDescent="0.3">
      <c r="A27" s="66" t="s">
        <v>31</v>
      </c>
      <c r="B27" s="62">
        <v>90</v>
      </c>
      <c r="C27" s="62" t="s">
        <v>34</v>
      </c>
      <c r="D27" s="67">
        <f>D26*B27</f>
        <v>295825.05</v>
      </c>
      <c r="E27" s="67" t="s">
        <v>26</v>
      </c>
      <c r="F27" s="88">
        <v>7.62</v>
      </c>
      <c r="G27" s="89">
        <f t="shared" si="0"/>
        <v>2479605.5691000004</v>
      </c>
      <c r="H27" s="67"/>
    </row>
    <row r="28" spans="1:12" ht="20.399999999999999" x14ac:dyDescent="0.3">
      <c r="A28" s="66" t="s">
        <v>101</v>
      </c>
      <c r="B28" s="62">
        <v>240</v>
      </c>
      <c r="C28" s="62" t="s">
        <v>6</v>
      </c>
      <c r="D28" s="67">
        <f>DADOS_INICIAIS!$E$9</f>
        <v>13147.78</v>
      </c>
      <c r="E28" s="67" t="s">
        <v>2</v>
      </c>
      <c r="F28" s="88">
        <f>B28</f>
        <v>240</v>
      </c>
      <c r="G28" s="89">
        <f t="shared" si="0"/>
        <v>3471013.9200000004</v>
      </c>
      <c r="H28" s="67"/>
    </row>
    <row r="29" spans="1:12" ht="20.399999999999999" x14ac:dyDescent="0.3">
      <c r="A29" s="66" t="s">
        <v>301</v>
      </c>
      <c r="B29" s="62">
        <f>5300*0.8</f>
        <v>4240</v>
      </c>
      <c r="C29" s="62" t="s">
        <v>302</v>
      </c>
      <c r="D29" s="67">
        <v>1</v>
      </c>
      <c r="E29" s="67" t="s">
        <v>27</v>
      </c>
      <c r="F29" s="88">
        <f>B29*DADOS_INICIAIS!$E$15</f>
        <v>55120</v>
      </c>
      <c r="G29" s="89">
        <f t="shared" si="0"/>
        <v>60632.000000000007</v>
      </c>
      <c r="H29" s="67" t="s">
        <v>303</v>
      </c>
    </row>
    <row r="30" spans="1:12" ht="20.399999999999999" x14ac:dyDescent="0.3">
      <c r="A30" s="296" t="s">
        <v>17</v>
      </c>
      <c r="B30" s="296"/>
      <c r="C30" s="296"/>
      <c r="D30" s="296"/>
      <c r="E30" s="296"/>
      <c r="F30" s="296"/>
      <c r="G30" s="90">
        <f>SUM(G22:G29)</f>
        <v>9355061.8002641052</v>
      </c>
      <c r="H30" s="90"/>
    </row>
    <row r="32" spans="1:12" ht="20.399999999999999" hidden="1" x14ac:dyDescent="0.3">
      <c r="A32" s="52" t="s">
        <v>307</v>
      </c>
      <c r="B32" s="52"/>
      <c r="C32" s="52"/>
      <c r="D32" s="53"/>
      <c r="E32" s="53"/>
      <c r="F32" s="54"/>
      <c r="G32" s="53"/>
      <c r="H32" s="53"/>
    </row>
    <row r="33" spans="1:8" ht="20.399999999999999" hidden="1" x14ac:dyDescent="0.3">
      <c r="A33" s="56"/>
      <c r="B33" s="56"/>
      <c r="C33" s="56"/>
      <c r="D33" s="57"/>
      <c r="E33" s="57"/>
      <c r="F33" s="58"/>
      <c r="G33" s="59"/>
      <c r="H33" s="59"/>
    </row>
    <row r="34" spans="1:8" ht="20.399999999999999" hidden="1" x14ac:dyDescent="0.3">
      <c r="A34" s="63" t="s">
        <v>14</v>
      </c>
      <c r="B34" s="301" t="s">
        <v>5</v>
      </c>
      <c r="C34" s="302"/>
      <c r="D34" s="301" t="s">
        <v>18</v>
      </c>
      <c r="E34" s="302"/>
      <c r="F34" s="65" t="s">
        <v>118</v>
      </c>
      <c r="G34" s="71" t="s">
        <v>16</v>
      </c>
      <c r="H34" s="90" t="s">
        <v>298</v>
      </c>
    </row>
    <row r="35" spans="1:8" ht="20.399999999999999" hidden="1" x14ac:dyDescent="0.3">
      <c r="A35" s="66" t="s">
        <v>29</v>
      </c>
      <c r="B35" s="193">
        <v>2</v>
      </c>
      <c r="C35" s="193" t="s">
        <v>304</v>
      </c>
      <c r="D35" s="67">
        <f>(D36/DADOS_INICIAIS!$E$15)*B35</f>
        <v>0</v>
      </c>
      <c r="E35" s="67" t="s">
        <v>2</v>
      </c>
      <c r="F35" s="88">
        <v>85</v>
      </c>
      <c r="G35" s="89">
        <f>F35*D35*1.1</f>
        <v>0</v>
      </c>
      <c r="H35" s="67"/>
    </row>
    <row r="36" spans="1:8" ht="20.399999999999999" hidden="1" x14ac:dyDescent="0.3">
      <c r="A36" s="78" t="s">
        <v>30</v>
      </c>
      <c r="B36" s="193">
        <v>2.1</v>
      </c>
      <c r="C36" s="193" t="s">
        <v>37</v>
      </c>
      <c r="D36" s="67">
        <f>B36*DADOS_INICIAIS!E38</f>
        <v>0</v>
      </c>
      <c r="E36" s="67" t="s">
        <v>2</v>
      </c>
      <c r="F36" s="88">
        <v>1.5</v>
      </c>
      <c r="G36" s="89">
        <f>F36*D36*1.1</f>
        <v>0</v>
      </c>
      <c r="H36" s="67"/>
    </row>
    <row r="37" spans="1:8" ht="20.399999999999999" hidden="1" x14ac:dyDescent="0.3">
      <c r="A37" s="78" t="s">
        <v>32</v>
      </c>
      <c r="B37" s="193">
        <v>2</v>
      </c>
      <c r="C37" s="193" t="s">
        <v>163</v>
      </c>
      <c r="D37" s="67">
        <f>B37*DADOS_INICIAIS!E47*DADOS_INICIAIS!E44</f>
        <v>0</v>
      </c>
      <c r="E37" s="67" t="s">
        <v>3</v>
      </c>
      <c r="F37" s="88">
        <v>17</v>
      </c>
      <c r="G37" s="89">
        <f>F37*D37*1.1</f>
        <v>0</v>
      </c>
      <c r="H37" s="67"/>
    </row>
    <row r="38" spans="1:8" ht="20.399999999999999" hidden="1" x14ac:dyDescent="0.3">
      <c r="A38" s="78" t="s">
        <v>33</v>
      </c>
      <c r="B38" s="193">
        <v>2</v>
      </c>
      <c r="C38" s="193" t="s">
        <v>164</v>
      </c>
      <c r="D38" s="67">
        <f>B38*DADOS_INICIAIS!E50</f>
        <v>0</v>
      </c>
      <c r="E38" s="67" t="s">
        <v>3</v>
      </c>
      <c r="F38" s="88">
        <v>17</v>
      </c>
      <c r="G38" s="89">
        <f>F38*D38*1.1</f>
        <v>0</v>
      </c>
      <c r="H38" s="67"/>
    </row>
    <row r="39" spans="1:8" ht="20.399999999999999" hidden="1" x14ac:dyDescent="0.3">
      <c r="A39" s="66" t="s">
        <v>116</v>
      </c>
      <c r="B39" s="193">
        <v>25</v>
      </c>
      <c r="C39" s="193" t="s">
        <v>6</v>
      </c>
      <c r="D39" s="67">
        <f>B39*DADOS_INICIAIS!E38</f>
        <v>0</v>
      </c>
      <c r="E39" s="67" t="s">
        <v>22</v>
      </c>
      <c r="F39" s="88">
        <f>B39</f>
        <v>25</v>
      </c>
      <c r="G39" s="89">
        <f>F39*D39*1.1</f>
        <v>0</v>
      </c>
      <c r="H39" s="67"/>
    </row>
    <row r="40" spans="1:8" ht="20.399999999999999" hidden="1" x14ac:dyDescent="0.3">
      <c r="A40" s="66" t="s">
        <v>99</v>
      </c>
      <c r="B40" s="193">
        <v>0.25</v>
      </c>
      <c r="C40" s="193" t="s">
        <v>38</v>
      </c>
      <c r="D40" s="67">
        <f>B40*DADOS_INICIAIS!E38</f>
        <v>0</v>
      </c>
      <c r="E40" s="67" t="s">
        <v>22</v>
      </c>
      <c r="F40" s="88">
        <f>575</f>
        <v>575</v>
      </c>
      <c r="G40" s="89">
        <f>F40*D40*1.05*1.1</f>
        <v>0</v>
      </c>
      <c r="H40" s="67"/>
    </row>
    <row r="41" spans="1:8" ht="20.399999999999999" hidden="1" x14ac:dyDescent="0.3">
      <c r="A41" s="66" t="s">
        <v>31</v>
      </c>
      <c r="B41" s="193">
        <v>110</v>
      </c>
      <c r="C41" s="193" t="s">
        <v>34</v>
      </c>
      <c r="D41" s="67">
        <f>D40*B41</f>
        <v>0</v>
      </c>
      <c r="E41" s="67" t="s">
        <v>26</v>
      </c>
      <c r="F41" s="88">
        <v>7.25</v>
      </c>
      <c r="G41" s="89">
        <f>F41*D41*1.1</f>
        <v>0</v>
      </c>
      <c r="H41" s="67"/>
    </row>
    <row r="42" spans="1:8" ht="20.399999999999999" hidden="1" x14ac:dyDescent="0.3">
      <c r="A42" s="66" t="s">
        <v>101</v>
      </c>
      <c r="B42" s="193">
        <v>240</v>
      </c>
      <c r="C42" s="193" t="s">
        <v>6</v>
      </c>
      <c r="D42" s="67">
        <f>DADOS_INICIAIS!E38</f>
        <v>0</v>
      </c>
      <c r="E42" s="67" t="s">
        <v>2</v>
      </c>
      <c r="F42" s="88">
        <f>B42</f>
        <v>240</v>
      </c>
      <c r="G42" s="89">
        <f>F42*D42*1.1</f>
        <v>0</v>
      </c>
      <c r="H42" s="67"/>
    </row>
    <row r="43" spans="1:8" ht="20.399999999999999" hidden="1" x14ac:dyDescent="0.3">
      <c r="A43" s="66" t="s">
        <v>301</v>
      </c>
      <c r="B43" s="193">
        <v>5300</v>
      </c>
      <c r="C43" s="193" t="s">
        <v>302</v>
      </c>
      <c r="D43" s="67">
        <v>1</v>
      </c>
      <c r="E43" s="67" t="s">
        <v>27</v>
      </c>
      <c r="F43" s="88">
        <f>B43*DADOS_INICIAIS!E43</f>
        <v>0</v>
      </c>
      <c r="G43" s="89">
        <f>F43*D43*1.1</f>
        <v>0</v>
      </c>
      <c r="H43" s="67" t="s">
        <v>303</v>
      </c>
    </row>
    <row r="44" spans="1:8" ht="20.399999999999999" hidden="1" x14ac:dyDescent="0.3">
      <c r="A44" s="296" t="s">
        <v>17</v>
      </c>
      <c r="B44" s="296"/>
      <c r="C44" s="296"/>
      <c r="D44" s="296"/>
      <c r="E44" s="296"/>
      <c r="F44" s="296"/>
      <c r="G44" s="90">
        <f>SUM(G35:G43)</f>
        <v>0</v>
      </c>
      <c r="H44" s="90"/>
    </row>
    <row r="45" spans="1:8" hidden="1" x14ac:dyDescent="0.3"/>
    <row r="46" spans="1:8" ht="20.399999999999999" hidden="1" x14ac:dyDescent="0.3">
      <c r="A46" s="52" t="s">
        <v>333</v>
      </c>
      <c r="B46" s="52"/>
      <c r="C46" s="52"/>
      <c r="D46" s="53"/>
      <c r="E46" s="53"/>
      <c r="F46" s="54"/>
      <c r="G46" s="53"/>
      <c r="H46" s="53"/>
    </row>
    <row r="47" spans="1:8" ht="20.399999999999999" hidden="1" x14ac:dyDescent="0.3">
      <c r="A47" s="56"/>
      <c r="B47" s="56"/>
      <c r="C47" s="56"/>
      <c r="D47" s="57"/>
      <c r="E47" s="57"/>
      <c r="F47" s="58"/>
      <c r="G47" s="59"/>
      <c r="H47" s="59"/>
    </row>
    <row r="48" spans="1:8" ht="20.399999999999999" hidden="1" x14ac:dyDescent="0.3">
      <c r="A48" s="63" t="s">
        <v>14</v>
      </c>
      <c r="B48" s="301" t="s">
        <v>5</v>
      </c>
      <c r="C48" s="302"/>
      <c r="D48" s="301" t="s">
        <v>18</v>
      </c>
      <c r="E48" s="302"/>
      <c r="F48" s="65" t="s">
        <v>118</v>
      </c>
      <c r="G48" s="71" t="s">
        <v>16</v>
      </c>
      <c r="H48" s="90" t="s">
        <v>298</v>
      </c>
    </row>
    <row r="49" spans="1:8" ht="20.399999999999999" hidden="1" x14ac:dyDescent="0.3">
      <c r="A49" s="66" t="s">
        <v>29</v>
      </c>
      <c r="B49" s="62">
        <v>3</v>
      </c>
      <c r="C49" s="62" t="s">
        <v>304</v>
      </c>
      <c r="D49" s="67">
        <f>(D50/DADOS_INICIAIS!$E$15)*B49</f>
        <v>6371.6164615384623</v>
      </c>
      <c r="E49" s="67" t="s">
        <v>2</v>
      </c>
      <c r="F49" s="88">
        <v>110</v>
      </c>
      <c r="G49" s="89">
        <f t="shared" ref="G49:G54" si="1">F49*D49*1.1</f>
        <v>770965.59184615395</v>
      </c>
      <c r="H49" s="67"/>
    </row>
    <row r="50" spans="1:8" ht="20.399999999999999" hidden="1" x14ac:dyDescent="0.3">
      <c r="A50" s="78" t="s">
        <v>30</v>
      </c>
      <c r="B50" s="62">
        <v>2.1</v>
      </c>
      <c r="C50" s="62" t="s">
        <v>37</v>
      </c>
      <c r="D50" s="67">
        <f>B50*DADOS_INICIAIS!$E$9</f>
        <v>27610.338000000003</v>
      </c>
      <c r="E50" s="67" t="s">
        <v>2</v>
      </c>
      <c r="F50" s="88">
        <v>2.5</v>
      </c>
      <c r="G50" s="89">
        <f t="shared" si="1"/>
        <v>75928.429500000013</v>
      </c>
      <c r="H50" s="67"/>
    </row>
    <row r="51" spans="1:8" ht="20.399999999999999" hidden="1" x14ac:dyDescent="0.3">
      <c r="A51" s="78" t="s">
        <v>315</v>
      </c>
      <c r="B51" s="62">
        <v>3</v>
      </c>
      <c r="C51" s="62" t="s">
        <v>164</v>
      </c>
      <c r="D51" s="67">
        <f>ROUNDUP(B51*DADOS_INICIAIS!$E$25*B49,0)</f>
        <v>13395</v>
      </c>
      <c r="E51" s="67" t="s">
        <v>3</v>
      </c>
      <c r="F51" s="88">
        <v>17</v>
      </c>
      <c r="G51" s="89">
        <f t="shared" si="1"/>
        <v>250486.50000000003</v>
      </c>
      <c r="H51" s="67"/>
    </row>
    <row r="52" spans="1:8" ht="20.399999999999999" hidden="1" x14ac:dyDescent="0.3">
      <c r="A52" s="78" t="s">
        <v>336</v>
      </c>
      <c r="B52" s="200">
        <v>12.3</v>
      </c>
      <c r="C52" s="200" t="s">
        <v>334</v>
      </c>
      <c r="D52" s="67">
        <f>(DADOS_INICIAIS!$E$16+DADOS_INICIAIS!$E$17)*DADOS_INICIAIS!$E$19+DADOS_INICIAIS!$E$22</f>
        <v>9757.92</v>
      </c>
      <c r="E52" s="67" t="s">
        <v>2</v>
      </c>
      <c r="F52" s="88">
        <f>B52</f>
        <v>12.3</v>
      </c>
      <c r="G52" s="89">
        <f t="shared" si="1"/>
        <v>132024.65760000004</v>
      </c>
      <c r="H52" s="67"/>
    </row>
    <row r="53" spans="1:8" ht="20.399999999999999" hidden="1" x14ac:dyDescent="0.3">
      <c r="A53" s="78" t="s">
        <v>337</v>
      </c>
      <c r="B53" s="200">
        <v>2.83</v>
      </c>
      <c r="C53" s="200" t="s">
        <v>335</v>
      </c>
      <c r="D53" s="67">
        <f>B53*D52</f>
        <v>27614.9136</v>
      </c>
      <c r="E53" s="67" t="s">
        <v>26</v>
      </c>
      <c r="F53" s="88">
        <v>12.3</v>
      </c>
      <c r="G53" s="89">
        <f t="shared" si="1"/>
        <v>373629.78100800002</v>
      </c>
      <c r="H53" s="67"/>
    </row>
    <row r="54" spans="1:8" ht="20.399999999999999" hidden="1" x14ac:dyDescent="0.3">
      <c r="A54" s="66" t="s">
        <v>338</v>
      </c>
      <c r="B54" s="200">
        <v>9000</v>
      </c>
      <c r="C54" s="200" t="s">
        <v>339</v>
      </c>
      <c r="D54" s="67">
        <f>DADOS_INICIAIS!E15</f>
        <v>13</v>
      </c>
      <c r="E54" s="67" t="s">
        <v>340</v>
      </c>
      <c r="F54" s="88">
        <f>B54</f>
        <v>9000</v>
      </c>
      <c r="G54" s="89">
        <f t="shared" si="1"/>
        <v>128700.00000000001</v>
      </c>
      <c r="H54" s="67"/>
    </row>
    <row r="55" spans="1:8" ht="20.399999999999999" hidden="1" x14ac:dyDescent="0.3">
      <c r="A55" s="66" t="s">
        <v>99</v>
      </c>
      <c r="B55" s="200">
        <v>0.25</v>
      </c>
      <c r="C55" s="200" t="s">
        <v>38</v>
      </c>
      <c r="D55" s="67">
        <f>B55*DADOS_INICIAIS!$E$9</f>
        <v>3286.9450000000002</v>
      </c>
      <c r="E55" s="67" t="s">
        <v>22</v>
      </c>
      <c r="F55" s="88">
        <f>535+45</f>
        <v>580</v>
      </c>
      <c r="G55" s="89">
        <f>F55*D55*1.05*1.1</f>
        <v>2201924.4555000002</v>
      </c>
      <c r="H55" s="67"/>
    </row>
    <row r="56" spans="1:8" ht="20.399999999999999" hidden="1" x14ac:dyDescent="0.3">
      <c r="A56" s="66" t="s">
        <v>31</v>
      </c>
      <c r="B56" s="200">
        <v>90</v>
      </c>
      <c r="C56" s="200" t="s">
        <v>34</v>
      </c>
      <c r="D56" s="67">
        <f>D55*B56</f>
        <v>295825.05</v>
      </c>
      <c r="E56" s="67" t="s">
        <v>26</v>
      </c>
      <c r="F56" s="88">
        <v>7.62</v>
      </c>
      <c r="G56" s="89">
        <f>F56*D56*1.1</f>
        <v>2479605.5691000004</v>
      </c>
      <c r="H56" s="67"/>
    </row>
    <row r="57" spans="1:8" ht="20.399999999999999" hidden="1" x14ac:dyDescent="0.3">
      <c r="A57" s="66" t="s">
        <v>101</v>
      </c>
      <c r="B57" s="62">
        <v>240</v>
      </c>
      <c r="C57" s="62" t="s">
        <v>6</v>
      </c>
      <c r="D57" s="67">
        <f>DADOS_INICIAIS!$E$9</f>
        <v>13147.78</v>
      </c>
      <c r="E57" s="67" t="s">
        <v>2</v>
      </c>
      <c r="F57" s="88">
        <f>B57</f>
        <v>240</v>
      </c>
      <c r="G57" s="89">
        <f>F57*D57*1.1</f>
        <v>3471013.9200000004</v>
      </c>
      <c r="H57" s="67"/>
    </row>
    <row r="58" spans="1:8" ht="20.399999999999999" hidden="1" x14ac:dyDescent="0.3">
      <c r="A58" s="66" t="s">
        <v>301</v>
      </c>
      <c r="B58" s="62">
        <v>5300</v>
      </c>
      <c r="C58" s="62" t="s">
        <v>302</v>
      </c>
      <c r="D58" s="67">
        <v>1</v>
      </c>
      <c r="E58" s="67" t="s">
        <v>27</v>
      </c>
      <c r="F58" s="88">
        <f>B58*DADOS_INICIAIS!$E$15</f>
        <v>68900</v>
      </c>
      <c r="G58" s="89">
        <f>F58*D58*1.1</f>
        <v>75790</v>
      </c>
      <c r="H58" s="67" t="s">
        <v>303</v>
      </c>
    </row>
    <row r="59" spans="1:8" ht="20.399999999999999" hidden="1" x14ac:dyDescent="0.3">
      <c r="A59" s="296" t="s">
        <v>17</v>
      </c>
      <c r="B59" s="296"/>
      <c r="C59" s="296"/>
      <c r="D59" s="296"/>
      <c r="E59" s="296"/>
      <c r="F59" s="296"/>
      <c r="G59" s="90">
        <f>SUM(G49:G58)</f>
        <v>9960068.9045541547</v>
      </c>
      <c r="H59" s="90"/>
    </row>
    <row r="62" spans="1:8" ht="20.399999999999999" x14ac:dyDescent="0.3">
      <c r="A62" s="306" t="s">
        <v>105</v>
      </c>
      <c r="B62" s="307"/>
      <c r="C62" s="307"/>
      <c r="D62" s="307"/>
      <c r="E62" s="307"/>
      <c r="F62" s="308"/>
      <c r="G62" s="91">
        <f>G30</f>
        <v>9355061.8002641052</v>
      </c>
      <c r="H62" s="91">
        <f>G62/DADOS_INICIAIS!E9</f>
        <v>711.5316654419305</v>
      </c>
    </row>
    <row r="64" spans="1:8" x14ac:dyDescent="0.3">
      <c r="G64" s="194"/>
      <c r="H64" s="194">
        <f>H62/1.1</f>
        <v>646.84696858357313</v>
      </c>
    </row>
    <row r="65" spans="2:2" x14ac:dyDescent="0.3">
      <c r="B65" s="55">
        <f>4*3</f>
        <v>12</v>
      </c>
    </row>
  </sheetData>
  <mergeCells count="14">
    <mergeCell ref="A17:F17"/>
    <mergeCell ref="A62:F62"/>
    <mergeCell ref="A3:H3"/>
    <mergeCell ref="B9:C9"/>
    <mergeCell ref="D9:E9"/>
    <mergeCell ref="B21:C21"/>
    <mergeCell ref="D21:E21"/>
    <mergeCell ref="A30:F30"/>
    <mergeCell ref="B34:C34"/>
    <mergeCell ref="D34:E34"/>
    <mergeCell ref="A44:F44"/>
    <mergeCell ref="B48:C48"/>
    <mergeCell ref="D48:E48"/>
    <mergeCell ref="A59:F5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5"/>
  <sheetViews>
    <sheetView showGridLines="0" topLeftCell="A4" zoomScale="80" zoomScaleNormal="80" zoomScaleSheetLayoutView="95" workbookViewId="0">
      <selection activeCell="G11" sqref="G11"/>
    </sheetView>
  </sheetViews>
  <sheetFormatPr defaultColWidth="9.109375" defaultRowHeight="14.4" x14ac:dyDescent="0.3"/>
  <cols>
    <col min="1" max="1" width="50.109375" style="55" customWidth="1"/>
    <col min="2" max="2" width="21.6640625" style="55" customWidth="1"/>
    <col min="3" max="3" width="26.5546875" style="55" customWidth="1"/>
    <col min="4" max="4" width="16.5546875" style="81" customWidth="1"/>
    <col min="5" max="5" width="19.5546875" style="82" customWidth="1"/>
    <col min="6" max="6" width="20.88671875" style="55" customWidth="1"/>
    <col min="7" max="7" width="23.5546875" style="55" customWidth="1"/>
    <col min="8" max="8" width="58.33203125" style="55" customWidth="1"/>
    <col min="9" max="9" width="11.33203125" style="55" customWidth="1"/>
    <col min="10" max="10" width="9.109375" style="55"/>
    <col min="11" max="11" width="11" style="55" bestFit="1" customWidth="1"/>
    <col min="12" max="12" width="11.33203125" style="55" bestFit="1" customWidth="1"/>
    <col min="13" max="13" width="9.109375" style="55"/>
    <col min="14" max="15" width="11" style="55" bestFit="1" customWidth="1"/>
    <col min="16" max="16384" width="9.109375" style="55"/>
  </cols>
  <sheetData>
    <row r="1" spans="1:12" x14ac:dyDescent="0.3">
      <c r="D1" s="79"/>
      <c r="E1" s="55"/>
      <c r="H1" s="80"/>
      <c r="I1" s="80"/>
      <c r="J1" s="79"/>
    </row>
    <row r="3" spans="1:12" ht="26.4" x14ac:dyDescent="0.3">
      <c r="A3" s="297" t="s">
        <v>309</v>
      </c>
      <c r="B3" s="305"/>
      <c r="C3" s="305"/>
      <c r="D3" s="298"/>
      <c r="E3" s="298"/>
      <c r="F3" s="298"/>
      <c r="G3" s="298"/>
      <c r="H3" s="299"/>
      <c r="J3" s="79"/>
    </row>
    <row r="4" spans="1:12" ht="19.8" x14ac:dyDescent="0.3">
      <c r="A4" s="185" t="s">
        <v>185</v>
      </c>
      <c r="B4" s="191">
        <v>45469</v>
      </c>
      <c r="C4" s="189"/>
      <c r="D4" s="189"/>
      <c r="E4" s="189"/>
      <c r="F4" s="189"/>
      <c r="G4" s="189"/>
      <c r="H4" s="190"/>
      <c r="J4" s="79"/>
    </row>
    <row r="5" spans="1:12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2" ht="20.399999999999999" x14ac:dyDescent="0.3">
      <c r="A6" s="83"/>
      <c r="B6" s="83"/>
      <c r="C6" s="83"/>
      <c r="D6" s="83"/>
      <c r="E6" s="83"/>
      <c r="F6" s="84"/>
      <c r="G6" s="85"/>
      <c r="H6" s="85"/>
      <c r="J6" s="79"/>
    </row>
    <row r="7" spans="1:12" ht="20.399999999999999" x14ac:dyDescent="0.3">
      <c r="A7" s="52" t="s">
        <v>183</v>
      </c>
      <c r="B7" s="52"/>
      <c r="C7" s="52"/>
      <c r="D7" s="53"/>
      <c r="E7" s="53"/>
      <c r="F7" s="54"/>
      <c r="G7" s="53"/>
      <c r="H7" s="53"/>
    </row>
    <row r="8" spans="1:12" ht="20.399999999999999" x14ac:dyDescent="0.3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2" ht="20.399999999999999" x14ac:dyDescent="0.3">
      <c r="A10" s="66" t="s">
        <v>821</v>
      </c>
      <c r="B10" s="62">
        <v>0.5</v>
      </c>
      <c r="C10" s="62" t="s">
        <v>180</v>
      </c>
      <c r="D10" s="67">
        <f>SUM(Orçamento!D62:D70)</f>
        <v>19140.300000000003</v>
      </c>
      <c r="E10" s="67" t="s">
        <v>2</v>
      </c>
      <c r="F10" s="88">
        <v>45</v>
      </c>
      <c r="G10" s="89">
        <f>F10*D10*1.1</f>
        <v>947444.85000000021</v>
      </c>
      <c r="H10" s="67"/>
      <c r="I10" s="252" t="e">
        <f>(D10+#REF!+#REF!+#REF!+#REF!)/DADOS_INICIAIS!E9</f>
        <v>#REF!</v>
      </c>
    </row>
    <row r="11" spans="1:12" ht="20.399999999999999" x14ac:dyDescent="0.3">
      <c r="A11" s="66" t="s">
        <v>828</v>
      </c>
      <c r="B11" s="62"/>
      <c r="C11" s="62"/>
      <c r="D11" s="67">
        <f>Orçamento!D67</f>
        <v>4791.6400000000003</v>
      </c>
      <c r="E11" s="67" t="s">
        <v>2</v>
      </c>
      <c r="F11" s="88">
        <v>26.46</v>
      </c>
      <c r="G11" s="89">
        <f>F11*D11*1.1</f>
        <v>139465.47384000002</v>
      </c>
      <c r="H11" s="67"/>
      <c r="I11" s="252" t="e">
        <f>(D11+#REF!+#REF!+#REF!+#REF!)/DADOS_INICIAIS!E10</f>
        <v>#REF!</v>
      </c>
    </row>
    <row r="12" spans="1:12" ht="20.399999999999999" x14ac:dyDescent="0.3">
      <c r="A12" s="66" t="s">
        <v>172</v>
      </c>
      <c r="B12" s="62">
        <v>1.75</v>
      </c>
      <c r="C12" s="62" t="s">
        <v>312</v>
      </c>
      <c r="D12" s="67">
        <f>B12*DADOS_INICIAIS!$E$14</f>
        <v>150.5</v>
      </c>
      <c r="E12" s="67" t="s">
        <v>2</v>
      </c>
      <c r="F12" s="88">
        <v>310</v>
      </c>
      <c r="G12" s="89">
        <f>F12*D12*1.1</f>
        <v>51320.500000000007</v>
      </c>
      <c r="H12" s="67"/>
    </row>
    <row r="13" spans="1:12" ht="20.399999999999999" x14ac:dyDescent="0.3">
      <c r="A13" s="66" t="s">
        <v>171</v>
      </c>
      <c r="B13" s="62">
        <v>12.5</v>
      </c>
      <c r="C13" s="62" t="s">
        <v>170</v>
      </c>
      <c r="D13" s="67">
        <f>D10</f>
        <v>19140.300000000003</v>
      </c>
      <c r="E13" s="67" t="s">
        <v>2</v>
      </c>
      <c r="F13" s="88">
        <v>6.5</v>
      </c>
      <c r="G13" s="89">
        <f>F13*D13*1.1</f>
        <v>136853.14500000002</v>
      </c>
      <c r="H13" s="67"/>
    </row>
    <row r="14" spans="1:12" ht="20.399999999999999" x14ac:dyDescent="0.3">
      <c r="A14" s="66" t="s">
        <v>25</v>
      </c>
      <c r="B14" s="62">
        <v>35</v>
      </c>
      <c r="C14" s="62" t="s">
        <v>170</v>
      </c>
      <c r="D14" s="67">
        <f>D10</f>
        <v>19140.300000000003</v>
      </c>
      <c r="E14" s="67" t="s">
        <v>2</v>
      </c>
      <c r="F14" s="88">
        <v>35</v>
      </c>
      <c r="G14" s="89">
        <f>F14*D14*1.1</f>
        <v>736901.55000000016</v>
      </c>
      <c r="H14" s="67"/>
    </row>
    <row r="15" spans="1:12" ht="20.399999999999999" x14ac:dyDescent="0.3">
      <c r="A15" s="296" t="s">
        <v>17</v>
      </c>
      <c r="B15" s="296"/>
      <c r="C15" s="296"/>
      <c r="D15" s="296"/>
      <c r="E15" s="296"/>
      <c r="F15" s="296"/>
      <c r="G15" s="90">
        <f>SUM(G10:G14)</f>
        <v>2011985.5188400005</v>
      </c>
      <c r="H15" s="90"/>
      <c r="K15" s="55">
        <f>4160+1440+1120+2880+4800+91680+4000</f>
        <v>110080</v>
      </c>
      <c r="L15" s="55">
        <f>K15/21</f>
        <v>5241.9047619047615</v>
      </c>
    </row>
    <row r="17" spans="1:10" ht="20.399999999999999" hidden="1" x14ac:dyDescent="0.3">
      <c r="A17" s="52" t="s">
        <v>342</v>
      </c>
      <c r="B17" s="52"/>
      <c r="C17" s="52"/>
      <c r="D17" s="53"/>
      <c r="E17" s="53"/>
      <c r="F17" s="54"/>
      <c r="G17" s="53">
        <f>G14/D14</f>
        <v>38.5</v>
      </c>
      <c r="H17" s="53"/>
    </row>
    <row r="18" spans="1:10" ht="20.399999999999999" hidden="1" x14ac:dyDescent="0.3">
      <c r="A18" s="56"/>
      <c r="B18" s="56"/>
      <c r="C18" s="56"/>
      <c r="D18" s="57"/>
      <c r="E18" s="57"/>
      <c r="F18" s="58"/>
      <c r="G18" s="59"/>
      <c r="H18" s="59"/>
    </row>
    <row r="19" spans="1:10" ht="20.399999999999999" hidden="1" x14ac:dyDescent="0.3">
      <c r="A19" s="63" t="s">
        <v>14</v>
      </c>
      <c r="B19" s="301" t="s">
        <v>5</v>
      </c>
      <c r="C19" s="302"/>
      <c r="D19" s="301" t="s">
        <v>18</v>
      </c>
      <c r="E19" s="302"/>
      <c r="F19" s="65" t="s">
        <v>118</v>
      </c>
      <c r="G19" s="71" t="s">
        <v>16</v>
      </c>
      <c r="H19" s="90" t="s">
        <v>298</v>
      </c>
    </row>
    <row r="20" spans="1:10" ht="20.399999999999999" hidden="1" x14ac:dyDescent="0.3">
      <c r="A20" s="66" t="s">
        <v>181</v>
      </c>
      <c r="B20" s="62">
        <v>1</v>
      </c>
      <c r="C20" s="62" t="s">
        <v>180</v>
      </c>
      <c r="D20" s="67">
        <f>B20*DADOS_INICIAIS!$E$22</f>
        <v>2171.44</v>
      </c>
      <c r="E20" s="67" t="s">
        <v>2</v>
      </c>
      <c r="F20" s="88">
        <v>45</v>
      </c>
      <c r="G20" s="89">
        <f>F20*D20*1.1</f>
        <v>107486.28000000001</v>
      </c>
      <c r="H20" s="67"/>
    </row>
    <row r="21" spans="1:10" ht="20.399999999999999" hidden="1" x14ac:dyDescent="0.3">
      <c r="A21" s="78" t="s">
        <v>179</v>
      </c>
      <c r="B21" s="62">
        <v>0.4</v>
      </c>
      <c r="C21" s="62" t="s">
        <v>178</v>
      </c>
      <c r="D21" s="67">
        <f>B21*DADOS_INICIAIS!$E$21</f>
        <v>283.77200000000005</v>
      </c>
      <c r="E21" s="67" t="s">
        <v>2</v>
      </c>
      <c r="F21" s="88">
        <v>45</v>
      </c>
      <c r="G21" s="89">
        <f>F21*D21*1.1</f>
        <v>14046.714000000004</v>
      </c>
      <c r="H21" s="67"/>
    </row>
    <row r="22" spans="1:10" ht="20.399999999999999" hidden="1" x14ac:dyDescent="0.3">
      <c r="A22" s="78" t="s">
        <v>177</v>
      </c>
      <c r="B22" s="62">
        <v>1.65</v>
      </c>
      <c r="C22" s="62" t="s">
        <v>176</v>
      </c>
      <c r="D22" s="67">
        <f>B22*(DADOS_INICIAIS!$E$19*(DADOS_INICIAIS!$E$16+DADOS_INICIAIS!$E$17))*0.4</f>
        <v>5007.0767999999998</v>
      </c>
      <c r="E22" s="67" t="s">
        <v>2</v>
      </c>
      <c r="F22" s="88">
        <v>45</v>
      </c>
      <c r="G22" s="89">
        <f>F22*D22*1.1</f>
        <v>247850.30160000004</v>
      </c>
      <c r="H22" s="67"/>
    </row>
    <row r="23" spans="1:10" ht="20.399999999999999" hidden="1" x14ac:dyDescent="0.3">
      <c r="A23" s="78" t="s">
        <v>310</v>
      </c>
      <c r="B23" s="62">
        <v>1.65</v>
      </c>
      <c r="C23" s="62" t="s">
        <v>176</v>
      </c>
      <c r="D23" s="67">
        <f>B23*(DADOS_INICIAIS!$E$19*(DADOS_INICIAIS!$E$16+DADOS_INICIAIS!$E$17))*0.6</f>
        <v>7510.6151999999993</v>
      </c>
      <c r="E23" s="67" t="s">
        <v>2</v>
      </c>
      <c r="F23" s="88">
        <v>220</v>
      </c>
      <c r="G23" s="89">
        <f t="shared" ref="G23:G27" si="0">F23*D23*1.1</f>
        <v>1817568.8784</v>
      </c>
      <c r="H23" s="67"/>
      <c r="J23" s="55">
        <f>D23/(D27+D23)</f>
        <v>0.40905021635949201</v>
      </c>
    </row>
    <row r="24" spans="1:10" ht="20.399999999999999" hidden="1" x14ac:dyDescent="0.3">
      <c r="A24" s="78" t="s">
        <v>175</v>
      </c>
      <c r="B24" s="62">
        <v>0.2</v>
      </c>
      <c r="C24" s="62" t="s">
        <v>37</v>
      </c>
      <c r="D24" s="67">
        <f>B24*DADOS_INICIAIS!$E$9</f>
        <v>2629.5560000000005</v>
      </c>
      <c r="E24" s="67" t="s">
        <v>2</v>
      </c>
      <c r="F24" s="88">
        <v>70</v>
      </c>
      <c r="G24" s="89">
        <f t="shared" si="0"/>
        <v>202475.81200000006</v>
      </c>
      <c r="H24" s="67"/>
      <c r="J24" s="55">
        <f>1-J23</f>
        <v>0.59094978364050799</v>
      </c>
    </row>
    <row r="25" spans="1:10" ht="20.399999999999999" hidden="1" x14ac:dyDescent="0.3">
      <c r="A25" s="66" t="s">
        <v>174</v>
      </c>
      <c r="B25" s="62">
        <v>0.8</v>
      </c>
      <c r="C25" s="62" t="s">
        <v>173</v>
      </c>
      <c r="D25" s="67">
        <f>B25*DADOS_INICIAIS!$E$19</f>
        <v>758.64800000000002</v>
      </c>
      <c r="E25" s="67" t="s">
        <v>22</v>
      </c>
      <c r="F25" s="88">
        <v>45</v>
      </c>
      <c r="G25" s="89">
        <f t="shared" si="0"/>
        <v>37553.076000000008</v>
      </c>
      <c r="H25" s="67"/>
    </row>
    <row r="26" spans="1:10" ht="20.399999999999999" hidden="1" x14ac:dyDescent="0.3">
      <c r="A26" s="66" t="s">
        <v>172</v>
      </c>
      <c r="B26" s="62">
        <v>1.75</v>
      </c>
      <c r="C26" s="62" t="s">
        <v>312</v>
      </c>
      <c r="D26" s="67">
        <f>'SISTEMAS ESPECIAIS'!B10</f>
        <v>86</v>
      </c>
      <c r="E26" s="67" t="s">
        <v>330</v>
      </c>
      <c r="F26" s="88">
        <v>210</v>
      </c>
      <c r="G26" s="89">
        <f t="shared" si="0"/>
        <v>19866</v>
      </c>
      <c r="H26" s="67"/>
    </row>
    <row r="27" spans="1:10" ht="20.399999999999999" hidden="1" x14ac:dyDescent="0.3">
      <c r="A27" s="66" t="s">
        <v>171</v>
      </c>
      <c r="B27" s="62">
        <v>12.5</v>
      </c>
      <c r="C27" s="62" t="s">
        <v>170</v>
      </c>
      <c r="D27" s="67">
        <f>D21+D22+D20+D24+D25</f>
        <v>10850.4928</v>
      </c>
      <c r="E27" s="67" t="s">
        <v>2</v>
      </c>
      <c r="F27" s="88">
        <f>B27</f>
        <v>12.5</v>
      </c>
      <c r="G27" s="89">
        <f t="shared" si="0"/>
        <v>149194.27600000001</v>
      </c>
      <c r="H27" s="67"/>
    </row>
    <row r="28" spans="1:10" ht="20.399999999999999" hidden="1" x14ac:dyDescent="0.3">
      <c r="A28" s="66" t="s">
        <v>25</v>
      </c>
      <c r="B28" s="62">
        <v>35</v>
      </c>
      <c r="C28" s="62" t="s">
        <v>170</v>
      </c>
      <c r="D28" s="67">
        <f>D21+D22+D20+D24+D25</f>
        <v>10850.4928</v>
      </c>
      <c r="E28" s="67" t="s">
        <v>2</v>
      </c>
      <c r="F28" s="88">
        <v>35</v>
      </c>
      <c r="G28" s="89">
        <f>F28*D28*1.1</f>
        <v>417743.97280000005</v>
      </c>
      <c r="H28" s="67"/>
    </row>
    <row r="29" spans="1:10" ht="20.399999999999999" hidden="1" x14ac:dyDescent="0.3">
      <c r="A29" s="296" t="s">
        <v>17</v>
      </c>
      <c r="B29" s="296"/>
      <c r="C29" s="296"/>
      <c r="D29" s="296"/>
      <c r="E29" s="296"/>
      <c r="F29" s="296"/>
      <c r="G29" s="90">
        <f>SUM(G20:G28)</f>
        <v>3013785.3108000001</v>
      </c>
      <c r="H29" s="90"/>
    </row>
    <row r="32" spans="1:10" ht="20.399999999999999" x14ac:dyDescent="0.3">
      <c r="A32" s="306" t="s">
        <v>168</v>
      </c>
      <c r="B32" s="307"/>
      <c r="C32" s="307"/>
      <c r="D32" s="307"/>
      <c r="E32" s="307"/>
      <c r="F32" s="308"/>
      <c r="G32" s="91">
        <f>G15</f>
        <v>2011985.5188400005</v>
      </c>
      <c r="H32" s="91">
        <f>G32/DADOS_INICIAIS!E9</f>
        <v>153.02853552767087</v>
      </c>
    </row>
    <row r="35" spans="3:8" x14ac:dyDescent="0.3">
      <c r="C35" s="55">
        <f>24000/(568+874+1996+1144)</f>
        <v>5.2378873854212138</v>
      </c>
      <c r="G35" s="194">
        <f>G32/1.1</f>
        <v>1829077.7444000002</v>
      </c>
      <c r="H35" s="55">
        <f>G35/DADOS_INICIAIS!E9</f>
        <v>139.11685047970076</v>
      </c>
    </row>
  </sheetData>
  <mergeCells count="8">
    <mergeCell ref="A29:F29"/>
    <mergeCell ref="A32:F32"/>
    <mergeCell ref="A3:H3"/>
    <mergeCell ref="B9:C9"/>
    <mergeCell ref="D9:E9"/>
    <mergeCell ref="A15:F15"/>
    <mergeCell ref="B19:C19"/>
    <mergeCell ref="D19:E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5094-06FB-45A6-9F70-C399C985C55E}">
  <sheetPr>
    <pageSetUpPr fitToPage="1"/>
  </sheetPr>
  <dimension ref="A1:G155"/>
  <sheetViews>
    <sheetView showGridLines="0" topLeftCell="A49" zoomScale="85" zoomScaleNormal="85" zoomScalePageLayoutView="55" workbookViewId="0">
      <selection activeCell="E70" sqref="E70"/>
    </sheetView>
  </sheetViews>
  <sheetFormatPr defaultColWidth="11.5546875" defaultRowHeight="13.2" x14ac:dyDescent="0.25"/>
  <cols>
    <col min="1" max="1" width="12.33203125" style="253" customWidth="1"/>
    <col min="2" max="2" width="76.44140625" style="253" customWidth="1"/>
    <col min="3" max="3" width="8.109375" style="255" customWidth="1"/>
    <col min="4" max="4" width="11.6640625" style="254" customWidth="1"/>
    <col min="5" max="16384" width="11.5546875" style="253"/>
  </cols>
  <sheetData>
    <row r="1" spans="1:7" ht="18" customHeight="1" x14ac:dyDescent="0.25">
      <c r="A1" s="309" t="s">
        <v>815</v>
      </c>
      <c r="B1" s="310"/>
      <c r="C1" s="310"/>
      <c r="D1" s="310"/>
    </row>
    <row r="2" spans="1:7" ht="14.4" x14ac:dyDescent="0.25">
      <c r="A2" s="276" t="s">
        <v>814</v>
      </c>
      <c r="B2" s="275" t="s">
        <v>813</v>
      </c>
      <c r="C2" s="284"/>
      <c r="D2" s="283"/>
    </row>
    <row r="3" spans="1:7" x14ac:dyDescent="0.25">
      <c r="A3" s="276" t="s">
        <v>0</v>
      </c>
      <c r="B3" s="275" t="s">
        <v>810</v>
      </c>
      <c r="C3" s="282"/>
      <c r="D3" s="281"/>
    </row>
    <row r="4" spans="1:7" x14ac:dyDescent="0.25">
      <c r="A4" s="276" t="s">
        <v>186</v>
      </c>
      <c r="B4" s="275" t="s">
        <v>810</v>
      </c>
      <c r="C4" s="280"/>
      <c r="D4" s="279"/>
    </row>
    <row r="5" spans="1:7" x14ac:dyDescent="0.25">
      <c r="A5" s="276" t="s">
        <v>812</v>
      </c>
      <c r="B5" s="275" t="s">
        <v>810</v>
      </c>
      <c r="C5" s="280"/>
      <c r="D5" s="279"/>
    </row>
    <row r="6" spans="1:7" x14ac:dyDescent="0.25">
      <c r="A6" s="276" t="s">
        <v>811</v>
      </c>
      <c r="B6" s="275" t="s">
        <v>810</v>
      </c>
      <c r="C6" s="278"/>
      <c r="D6" s="277"/>
    </row>
    <row r="7" spans="1:7" x14ac:dyDescent="0.25">
      <c r="A7" s="276" t="s">
        <v>14</v>
      </c>
      <c r="B7" s="275" t="s">
        <v>810</v>
      </c>
      <c r="C7" s="274"/>
      <c r="D7" s="273"/>
      <c r="G7" s="272"/>
    </row>
    <row r="8" spans="1:7" x14ac:dyDescent="0.25">
      <c r="A8" s="314"/>
      <c r="B8" s="315"/>
      <c r="C8" s="315"/>
      <c r="D8" s="316"/>
    </row>
    <row r="9" spans="1:7" ht="18" customHeight="1" x14ac:dyDescent="0.25">
      <c r="A9" s="312" t="s">
        <v>809</v>
      </c>
      <c r="B9" s="313"/>
      <c r="C9" s="313"/>
      <c r="D9" s="313"/>
    </row>
    <row r="10" spans="1:7" ht="21.75" customHeight="1" x14ac:dyDescent="0.25">
      <c r="A10" s="311" t="s">
        <v>808</v>
      </c>
      <c r="B10" s="311" t="s">
        <v>14</v>
      </c>
      <c r="C10" s="311" t="s">
        <v>807</v>
      </c>
      <c r="D10" s="311" t="s">
        <v>18</v>
      </c>
    </row>
    <row r="11" spans="1:7" ht="17.25" customHeight="1" x14ac:dyDescent="0.25">
      <c r="A11" s="311"/>
      <c r="B11" s="311"/>
      <c r="C11" s="311"/>
      <c r="D11" s="311"/>
    </row>
    <row r="12" spans="1:7" x14ac:dyDescent="0.25">
      <c r="A12" s="271" t="s">
        <v>806</v>
      </c>
      <c r="B12" s="270" t="s">
        <v>805</v>
      </c>
      <c r="C12" s="269"/>
      <c r="D12" s="268"/>
    </row>
    <row r="13" spans="1:7" x14ac:dyDescent="0.25">
      <c r="A13" s="263" t="s">
        <v>804</v>
      </c>
      <c r="B13" s="262" t="s">
        <v>803</v>
      </c>
      <c r="C13" s="261"/>
      <c r="D13" s="260"/>
    </row>
    <row r="14" spans="1:7" x14ac:dyDescent="0.25">
      <c r="A14" s="259" t="s">
        <v>802</v>
      </c>
      <c r="B14" s="258" t="s">
        <v>801</v>
      </c>
      <c r="C14" s="257" t="s">
        <v>4</v>
      </c>
      <c r="D14" s="256">
        <v>128.68</v>
      </c>
    </row>
    <row r="15" spans="1:7" x14ac:dyDescent="0.25">
      <c r="A15" s="267" t="s">
        <v>800</v>
      </c>
      <c r="B15" s="266" t="s">
        <v>799</v>
      </c>
      <c r="C15" s="265" t="s">
        <v>4</v>
      </c>
      <c r="D15" s="264">
        <v>246.61</v>
      </c>
    </row>
    <row r="16" spans="1:7" x14ac:dyDescent="0.25">
      <c r="A16" s="271" t="s">
        <v>798</v>
      </c>
      <c r="B16" s="270" t="s">
        <v>797</v>
      </c>
      <c r="C16" s="269"/>
      <c r="D16" s="268"/>
    </row>
    <row r="17" spans="1:4" x14ac:dyDescent="0.25">
      <c r="A17" s="263" t="s">
        <v>796</v>
      </c>
      <c r="B17" s="262" t="s">
        <v>795</v>
      </c>
      <c r="C17" s="261"/>
      <c r="D17" s="260"/>
    </row>
    <row r="18" spans="1:4" x14ac:dyDescent="0.25">
      <c r="A18" s="259" t="s">
        <v>794</v>
      </c>
      <c r="B18" s="258" t="s">
        <v>793</v>
      </c>
      <c r="C18" s="257" t="s">
        <v>2</v>
      </c>
      <c r="D18" s="256"/>
    </row>
    <row r="19" spans="1:4" x14ac:dyDescent="0.25">
      <c r="A19" s="267" t="s">
        <v>792</v>
      </c>
      <c r="B19" s="266" t="s">
        <v>791</v>
      </c>
      <c r="C19" s="265" t="s">
        <v>2</v>
      </c>
      <c r="D19" s="264"/>
    </row>
    <row r="20" spans="1:4" x14ac:dyDescent="0.25">
      <c r="A20" s="271" t="s">
        <v>790</v>
      </c>
      <c r="B20" s="270" t="s">
        <v>789</v>
      </c>
      <c r="C20" s="269"/>
      <c r="D20" s="268"/>
    </row>
    <row r="21" spans="1:4" x14ac:dyDescent="0.25">
      <c r="A21" s="263" t="s">
        <v>788</v>
      </c>
      <c r="B21" s="262" t="s">
        <v>366</v>
      </c>
      <c r="C21" s="261"/>
      <c r="D21" s="260"/>
    </row>
    <row r="22" spans="1:4" x14ac:dyDescent="0.25">
      <c r="A22" s="259" t="s">
        <v>787</v>
      </c>
      <c r="B22" s="258" t="s">
        <v>786</v>
      </c>
      <c r="C22" s="257" t="s">
        <v>2</v>
      </c>
      <c r="D22" s="256">
        <v>369.9</v>
      </c>
    </row>
    <row r="23" spans="1:4" x14ac:dyDescent="0.25">
      <c r="A23" s="271" t="s">
        <v>785</v>
      </c>
      <c r="B23" s="270" t="s">
        <v>784</v>
      </c>
      <c r="C23" s="269"/>
      <c r="D23" s="268"/>
    </row>
    <row r="24" spans="1:4" x14ac:dyDescent="0.25">
      <c r="A24" s="263" t="s">
        <v>783</v>
      </c>
      <c r="B24" s="262" t="s">
        <v>782</v>
      </c>
      <c r="C24" s="261" t="s">
        <v>816</v>
      </c>
      <c r="D24" s="260">
        <v>1125.2525000000001</v>
      </c>
    </row>
    <row r="25" spans="1:4" x14ac:dyDescent="0.25">
      <c r="A25" s="267" t="s">
        <v>781</v>
      </c>
      <c r="B25" s="266" t="s">
        <v>780</v>
      </c>
      <c r="C25" s="265" t="s">
        <v>3</v>
      </c>
      <c r="D25" s="264">
        <v>5</v>
      </c>
    </row>
    <row r="26" spans="1:4" ht="26.4" x14ac:dyDescent="0.25">
      <c r="A26" s="259" t="s">
        <v>779</v>
      </c>
      <c r="B26" s="258" t="s">
        <v>778</v>
      </c>
      <c r="C26" s="257" t="s">
        <v>3</v>
      </c>
      <c r="D26" s="256">
        <v>16</v>
      </c>
    </row>
    <row r="27" spans="1:4" ht="26.4" x14ac:dyDescent="0.25">
      <c r="A27" s="267" t="s">
        <v>777</v>
      </c>
      <c r="B27" s="266" t="s">
        <v>776</v>
      </c>
      <c r="C27" s="265" t="s">
        <v>3</v>
      </c>
      <c r="D27" s="264">
        <v>64</v>
      </c>
    </row>
    <row r="28" spans="1:4" ht="26.4" x14ac:dyDescent="0.25">
      <c r="A28" s="259" t="s">
        <v>775</v>
      </c>
      <c r="B28" s="258" t="s">
        <v>774</v>
      </c>
      <c r="C28" s="257" t="s">
        <v>3</v>
      </c>
      <c r="D28" s="256">
        <v>4</v>
      </c>
    </row>
    <row r="29" spans="1:4" x14ac:dyDescent="0.25">
      <c r="A29" s="267" t="s">
        <v>773</v>
      </c>
      <c r="B29" s="266" t="s">
        <v>772</v>
      </c>
      <c r="C29" s="265" t="s">
        <v>3</v>
      </c>
      <c r="D29" s="264">
        <v>16</v>
      </c>
    </row>
    <row r="30" spans="1:4" x14ac:dyDescent="0.25">
      <c r="A30" s="259" t="s">
        <v>771</v>
      </c>
      <c r="B30" s="258" t="s">
        <v>770</v>
      </c>
      <c r="C30" s="257" t="s">
        <v>3</v>
      </c>
      <c r="D30" s="256">
        <v>24</v>
      </c>
    </row>
    <row r="31" spans="1:4" x14ac:dyDescent="0.25">
      <c r="A31" s="267" t="s">
        <v>769</v>
      </c>
      <c r="B31" s="266" t="s">
        <v>768</v>
      </c>
      <c r="C31" s="265" t="s">
        <v>3</v>
      </c>
      <c r="D31" s="264">
        <v>104</v>
      </c>
    </row>
    <row r="32" spans="1:4" x14ac:dyDescent="0.25">
      <c r="A32" s="259" t="s">
        <v>767</v>
      </c>
      <c r="B32" s="258" t="s">
        <v>766</v>
      </c>
      <c r="C32" s="257" t="s">
        <v>3</v>
      </c>
      <c r="D32" s="256">
        <v>32</v>
      </c>
    </row>
    <row r="33" spans="1:4" x14ac:dyDescent="0.25">
      <c r="A33" s="267" t="s">
        <v>765</v>
      </c>
      <c r="B33" s="266" t="s">
        <v>764</v>
      </c>
      <c r="C33" s="265" t="s">
        <v>3</v>
      </c>
      <c r="D33" s="264">
        <v>16</v>
      </c>
    </row>
    <row r="34" spans="1:4" x14ac:dyDescent="0.25">
      <c r="A34" s="259" t="s">
        <v>763</v>
      </c>
      <c r="B34" s="258" t="s">
        <v>762</v>
      </c>
      <c r="C34" s="257" t="s">
        <v>3</v>
      </c>
      <c r="D34" s="256">
        <v>48</v>
      </c>
    </row>
    <row r="35" spans="1:4" x14ac:dyDescent="0.25">
      <c r="A35" s="267" t="s">
        <v>761</v>
      </c>
      <c r="B35" s="266" t="s">
        <v>760</v>
      </c>
      <c r="C35" s="265" t="s">
        <v>3</v>
      </c>
      <c r="D35" s="264">
        <v>2</v>
      </c>
    </row>
    <row r="36" spans="1:4" x14ac:dyDescent="0.25">
      <c r="A36" s="259" t="s">
        <v>759</v>
      </c>
      <c r="B36" s="258" t="s">
        <v>758</v>
      </c>
      <c r="C36" s="257" t="s">
        <v>3</v>
      </c>
      <c r="D36" s="256">
        <v>2</v>
      </c>
    </row>
    <row r="37" spans="1:4" x14ac:dyDescent="0.25">
      <c r="A37" s="267" t="s">
        <v>757</v>
      </c>
      <c r="B37" s="266" t="s">
        <v>756</v>
      </c>
      <c r="C37" s="265" t="s">
        <v>3</v>
      </c>
      <c r="D37" s="264">
        <v>16</v>
      </c>
    </row>
    <row r="38" spans="1:4" x14ac:dyDescent="0.25">
      <c r="A38" s="259" t="s">
        <v>755</v>
      </c>
      <c r="B38" s="258" t="s">
        <v>754</v>
      </c>
      <c r="C38" s="257" t="s">
        <v>3</v>
      </c>
      <c r="D38" s="256">
        <v>1</v>
      </c>
    </row>
    <row r="39" spans="1:4" x14ac:dyDescent="0.25">
      <c r="A39" s="267" t="s">
        <v>753</v>
      </c>
      <c r="B39" s="266" t="s">
        <v>752</v>
      </c>
      <c r="C39" s="265" t="s">
        <v>3</v>
      </c>
      <c r="D39" s="264">
        <v>16</v>
      </c>
    </row>
    <row r="40" spans="1:4" x14ac:dyDescent="0.25">
      <c r="A40" s="259" t="s">
        <v>751</v>
      </c>
      <c r="B40" s="258" t="s">
        <v>750</v>
      </c>
      <c r="C40" s="257" t="s">
        <v>3</v>
      </c>
      <c r="D40" s="256">
        <v>3</v>
      </c>
    </row>
    <row r="41" spans="1:4" ht="26.4" x14ac:dyDescent="0.25">
      <c r="A41" s="267" t="s">
        <v>749</v>
      </c>
      <c r="B41" s="266" t="s">
        <v>748</v>
      </c>
      <c r="C41" s="265" t="s">
        <v>3</v>
      </c>
      <c r="D41" s="264">
        <v>48</v>
      </c>
    </row>
    <row r="42" spans="1:4" ht="26.4" x14ac:dyDescent="0.25">
      <c r="A42" s="259" t="s">
        <v>747</v>
      </c>
      <c r="B42" s="258" t="s">
        <v>746</v>
      </c>
      <c r="C42" s="257" t="s">
        <v>3</v>
      </c>
      <c r="D42" s="256">
        <v>1</v>
      </c>
    </row>
    <row r="43" spans="1:4" ht="26.4" x14ac:dyDescent="0.25">
      <c r="A43" s="267" t="s">
        <v>745</v>
      </c>
      <c r="B43" s="266" t="s">
        <v>744</v>
      </c>
      <c r="C43" s="265" t="s">
        <v>3</v>
      </c>
      <c r="D43" s="264">
        <v>8</v>
      </c>
    </row>
    <row r="44" spans="1:4" ht="26.4" x14ac:dyDescent="0.25">
      <c r="A44" s="259" t="s">
        <v>743</v>
      </c>
      <c r="B44" s="258" t="s">
        <v>742</v>
      </c>
      <c r="C44" s="257" t="s">
        <v>3</v>
      </c>
      <c r="D44" s="256">
        <v>59</v>
      </c>
    </row>
    <row r="45" spans="1:4" ht="26.4" x14ac:dyDescent="0.25">
      <c r="A45" s="267" t="s">
        <v>741</v>
      </c>
      <c r="B45" s="266" t="s">
        <v>740</v>
      </c>
      <c r="C45" s="265" t="s">
        <v>3</v>
      </c>
      <c r="D45" s="264">
        <v>16</v>
      </c>
    </row>
    <row r="46" spans="1:4" ht="26.4" x14ac:dyDescent="0.25">
      <c r="A46" s="259" t="s">
        <v>739</v>
      </c>
      <c r="B46" s="258" t="s">
        <v>738</v>
      </c>
      <c r="C46" s="257" t="s">
        <v>3</v>
      </c>
      <c r="D46" s="256">
        <v>13</v>
      </c>
    </row>
    <row r="47" spans="1:4" x14ac:dyDescent="0.25">
      <c r="A47" s="267" t="s">
        <v>737</v>
      </c>
      <c r="B47" s="266" t="s">
        <v>736</v>
      </c>
      <c r="C47" s="265" t="s">
        <v>3</v>
      </c>
      <c r="D47" s="264">
        <v>2</v>
      </c>
    </row>
    <row r="48" spans="1:4" x14ac:dyDescent="0.25">
      <c r="A48" s="271" t="s">
        <v>735</v>
      </c>
      <c r="B48" s="270" t="s">
        <v>734</v>
      </c>
      <c r="C48" s="269"/>
      <c r="D48" s="268"/>
    </row>
    <row r="49" spans="1:4" x14ac:dyDescent="0.25">
      <c r="A49" s="263" t="s">
        <v>733</v>
      </c>
      <c r="B49" s="262" t="s">
        <v>732</v>
      </c>
      <c r="C49" s="261"/>
      <c r="D49" s="260"/>
    </row>
    <row r="50" spans="1:4" x14ac:dyDescent="0.25">
      <c r="A50" s="259" t="s">
        <v>731</v>
      </c>
      <c r="B50" s="258" t="s">
        <v>730</v>
      </c>
      <c r="C50" s="257" t="s">
        <v>2</v>
      </c>
      <c r="D50" s="256">
        <v>81.69</v>
      </c>
    </row>
    <row r="51" spans="1:4" x14ac:dyDescent="0.25">
      <c r="A51" s="267" t="s">
        <v>729</v>
      </c>
      <c r="B51" s="266" t="s">
        <v>728</v>
      </c>
      <c r="C51" s="265" t="s">
        <v>2</v>
      </c>
      <c r="D51" s="264">
        <v>27.17</v>
      </c>
    </row>
    <row r="52" spans="1:4" x14ac:dyDescent="0.25">
      <c r="A52" s="271" t="s">
        <v>727</v>
      </c>
      <c r="B52" s="270" t="s">
        <v>726</v>
      </c>
      <c r="C52" s="269"/>
      <c r="D52" s="268"/>
    </row>
    <row r="53" spans="1:4" x14ac:dyDescent="0.25">
      <c r="A53" s="263" t="s">
        <v>725</v>
      </c>
      <c r="B53" s="262" t="s">
        <v>724</v>
      </c>
      <c r="C53" s="261"/>
      <c r="D53" s="260"/>
    </row>
    <row r="54" spans="1:4" x14ac:dyDescent="0.25">
      <c r="A54" s="259" t="s">
        <v>723</v>
      </c>
      <c r="B54" s="258" t="s">
        <v>722</v>
      </c>
      <c r="C54" s="257" t="s">
        <v>2</v>
      </c>
      <c r="D54" s="256">
        <v>150.28</v>
      </c>
    </row>
    <row r="55" spans="1:4" x14ac:dyDescent="0.25">
      <c r="A55" s="267" t="s">
        <v>721</v>
      </c>
      <c r="B55" s="266" t="s">
        <v>720</v>
      </c>
      <c r="C55" s="265" t="s">
        <v>2</v>
      </c>
      <c r="D55" s="264">
        <v>212.31</v>
      </c>
    </row>
    <row r="56" spans="1:4" x14ac:dyDescent="0.25">
      <c r="A56" s="259" t="s">
        <v>719</v>
      </c>
      <c r="B56" s="258" t="s">
        <v>718</v>
      </c>
      <c r="C56" s="257" t="s">
        <v>2</v>
      </c>
      <c r="D56" s="256">
        <v>0.91</v>
      </c>
    </row>
    <row r="57" spans="1:4" x14ac:dyDescent="0.25">
      <c r="A57" s="267" t="s">
        <v>717</v>
      </c>
      <c r="B57" s="266" t="s">
        <v>716</v>
      </c>
      <c r="C57" s="265" t="s">
        <v>2</v>
      </c>
      <c r="D57" s="264">
        <v>50.51</v>
      </c>
    </row>
    <row r="58" spans="1:4" x14ac:dyDescent="0.25">
      <c r="A58" s="259" t="s">
        <v>715</v>
      </c>
      <c r="B58" s="258" t="s">
        <v>714</v>
      </c>
      <c r="C58" s="257" t="s">
        <v>2</v>
      </c>
      <c r="D58" s="256">
        <v>3.75</v>
      </c>
    </row>
    <row r="59" spans="1:4" x14ac:dyDescent="0.25">
      <c r="A59" s="267" t="s">
        <v>713</v>
      </c>
      <c r="B59" s="266" t="s">
        <v>712</v>
      </c>
      <c r="C59" s="265" t="s">
        <v>2</v>
      </c>
      <c r="D59" s="264">
        <v>0.05</v>
      </c>
    </row>
    <row r="60" spans="1:4" x14ac:dyDescent="0.25">
      <c r="A60" s="271" t="s">
        <v>711</v>
      </c>
      <c r="B60" s="270" t="s">
        <v>710</v>
      </c>
      <c r="C60" s="269"/>
      <c r="D60" s="268"/>
    </row>
    <row r="61" spans="1:4" x14ac:dyDescent="0.25">
      <c r="A61" s="263" t="s">
        <v>709</v>
      </c>
      <c r="B61" s="262" t="s">
        <v>708</v>
      </c>
      <c r="C61" s="261"/>
      <c r="D61" s="260"/>
    </row>
    <row r="62" spans="1:4" x14ac:dyDescent="0.25">
      <c r="A62" s="259" t="s">
        <v>707</v>
      </c>
      <c r="B62" s="258" t="s">
        <v>706</v>
      </c>
      <c r="C62" s="257" t="s">
        <v>2</v>
      </c>
      <c r="D62" s="256">
        <v>92.47</v>
      </c>
    </row>
    <row r="63" spans="1:4" x14ac:dyDescent="0.25">
      <c r="A63" s="267" t="s">
        <v>705</v>
      </c>
      <c r="B63" s="266" t="s">
        <v>704</v>
      </c>
      <c r="C63" s="265" t="s">
        <v>2</v>
      </c>
      <c r="D63" s="264">
        <v>758.56</v>
      </c>
    </row>
    <row r="64" spans="1:4" x14ac:dyDescent="0.25">
      <c r="A64" s="259" t="s">
        <v>703</v>
      </c>
      <c r="B64" s="258" t="s">
        <v>702</v>
      </c>
      <c r="C64" s="257" t="s">
        <v>2</v>
      </c>
      <c r="D64" s="256">
        <v>2706.92</v>
      </c>
    </row>
    <row r="65" spans="1:5" x14ac:dyDescent="0.25">
      <c r="A65" s="267" t="s">
        <v>701</v>
      </c>
      <c r="B65" s="266" t="s">
        <v>700</v>
      </c>
      <c r="C65" s="265" t="s">
        <v>2</v>
      </c>
      <c r="D65" s="264">
        <v>141.30000000000001</v>
      </c>
    </row>
    <row r="66" spans="1:5" x14ac:dyDescent="0.25">
      <c r="A66" s="259" t="s">
        <v>699</v>
      </c>
      <c r="B66" s="258" t="s">
        <v>698</v>
      </c>
      <c r="C66" s="257" t="s">
        <v>2</v>
      </c>
      <c r="D66" s="256">
        <v>6.45</v>
      </c>
    </row>
    <row r="67" spans="1:5" x14ac:dyDescent="0.25">
      <c r="A67" s="267" t="s">
        <v>697</v>
      </c>
      <c r="B67" s="266" t="s">
        <v>696</v>
      </c>
      <c r="C67" s="265" t="s">
        <v>2</v>
      </c>
      <c r="D67" s="264">
        <v>4791.6400000000003</v>
      </c>
    </row>
    <row r="68" spans="1:5" x14ac:dyDescent="0.25">
      <c r="A68" s="259" t="s">
        <v>695</v>
      </c>
      <c r="B68" s="258" t="s">
        <v>694</v>
      </c>
      <c r="C68" s="257" t="s">
        <v>2</v>
      </c>
      <c r="D68" s="256">
        <v>7440.22</v>
      </c>
    </row>
    <row r="69" spans="1:5" x14ac:dyDescent="0.25">
      <c r="A69" s="267" t="s">
        <v>693</v>
      </c>
      <c r="B69" s="266" t="s">
        <v>692</v>
      </c>
      <c r="C69" s="265" t="s">
        <v>2</v>
      </c>
      <c r="D69" s="264">
        <v>3183</v>
      </c>
    </row>
    <row r="70" spans="1:5" x14ac:dyDescent="0.25">
      <c r="A70" s="259" t="s">
        <v>691</v>
      </c>
      <c r="B70" s="258" t="s">
        <v>690</v>
      </c>
      <c r="C70" s="257" t="s">
        <v>2</v>
      </c>
      <c r="D70" s="256">
        <v>19.739999999999998</v>
      </c>
      <c r="E70" s="253">
        <v>24596.000000000004</v>
      </c>
    </row>
    <row r="71" spans="1:5" x14ac:dyDescent="0.25">
      <c r="A71" s="267" t="s">
        <v>689</v>
      </c>
      <c r="B71" s="266" t="s">
        <v>688</v>
      </c>
      <c r="C71" s="265" t="s">
        <v>2</v>
      </c>
      <c r="D71" s="264">
        <v>34.32</v>
      </c>
    </row>
    <row r="72" spans="1:5" x14ac:dyDescent="0.25">
      <c r="A72" s="259" t="s">
        <v>687</v>
      </c>
      <c r="B72" s="258" t="s">
        <v>686</v>
      </c>
      <c r="C72" s="257" t="s">
        <v>2</v>
      </c>
      <c r="D72" s="256">
        <v>10.5</v>
      </c>
    </row>
    <row r="73" spans="1:5" x14ac:dyDescent="0.25">
      <c r="A73" s="267" t="s">
        <v>685</v>
      </c>
      <c r="B73" s="266" t="s">
        <v>684</v>
      </c>
      <c r="C73" s="265" t="s">
        <v>2</v>
      </c>
      <c r="D73" s="264">
        <v>257.70999999999998</v>
      </c>
    </row>
    <row r="74" spans="1:5" x14ac:dyDescent="0.25">
      <c r="A74" s="259" t="s">
        <v>683</v>
      </c>
      <c r="B74" s="258" t="s">
        <v>682</v>
      </c>
      <c r="C74" s="257" t="s">
        <v>2</v>
      </c>
      <c r="D74" s="256">
        <v>922.32</v>
      </c>
    </row>
    <row r="75" spans="1:5" x14ac:dyDescent="0.25">
      <c r="A75" s="267" t="s">
        <v>681</v>
      </c>
      <c r="B75" s="266" t="s">
        <v>680</v>
      </c>
      <c r="C75" s="265" t="s">
        <v>2</v>
      </c>
      <c r="D75" s="264">
        <v>12.44</v>
      </c>
    </row>
    <row r="76" spans="1:5" x14ac:dyDescent="0.25">
      <c r="A76" s="259" t="s">
        <v>679</v>
      </c>
      <c r="B76" s="258" t="s">
        <v>678</v>
      </c>
      <c r="C76" s="257" t="s">
        <v>2</v>
      </c>
      <c r="D76" s="256">
        <v>83.16</v>
      </c>
    </row>
    <row r="77" spans="1:5" x14ac:dyDescent="0.25">
      <c r="A77" s="267" t="s">
        <v>677</v>
      </c>
      <c r="B77" s="266" t="s">
        <v>676</v>
      </c>
      <c r="C77" s="265" t="s">
        <v>2</v>
      </c>
      <c r="D77" s="264">
        <v>108.31</v>
      </c>
    </row>
    <row r="78" spans="1:5" x14ac:dyDescent="0.25">
      <c r="A78" s="259" t="s">
        <v>675</v>
      </c>
      <c r="B78" s="258" t="s">
        <v>674</v>
      </c>
      <c r="C78" s="257" t="s">
        <v>2</v>
      </c>
      <c r="D78" s="256">
        <v>18.309999999999999</v>
      </c>
    </row>
    <row r="79" spans="1:5" x14ac:dyDescent="0.25">
      <c r="A79" s="267" t="s">
        <v>673</v>
      </c>
      <c r="B79" s="266" t="s">
        <v>672</v>
      </c>
      <c r="C79" s="265" t="s">
        <v>2</v>
      </c>
      <c r="D79" s="264">
        <v>3673.15</v>
      </c>
    </row>
    <row r="80" spans="1:5" x14ac:dyDescent="0.25">
      <c r="A80" s="271" t="s">
        <v>671</v>
      </c>
      <c r="B80" s="270" t="s">
        <v>670</v>
      </c>
      <c r="C80" s="269"/>
      <c r="D80" s="268"/>
    </row>
    <row r="81" spans="1:4" x14ac:dyDescent="0.25">
      <c r="A81" s="263" t="s">
        <v>669</v>
      </c>
      <c r="B81" s="262" t="s">
        <v>668</v>
      </c>
      <c r="C81" s="261"/>
      <c r="D81" s="260"/>
    </row>
    <row r="82" spans="1:4" x14ac:dyDescent="0.25">
      <c r="A82" s="259" t="s">
        <v>667</v>
      </c>
      <c r="B82" s="258" t="s">
        <v>666</v>
      </c>
      <c r="C82" s="257" t="s">
        <v>2</v>
      </c>
      <c r="D82" s="256"/>
    </row>
    <row r="83" spans="1:4" x14ac:dyDescent="0.25">
      <c r="A83" s="267" t="s">
        <v>665</v>
      </c>
      <c r="B83" s="266" t="s">
        <v>664</v>
      </c>
      <c r="C83" s="265" t="s">
        <v>2</v>
      </c>
      <c r="D83" s="264"/>
    </row>
    <row r="84" spans="1:4" x14ac:dyDescent="0.25">
      <c r="A84" s="259" t="s">
        <v>663</v>
      </c>
      <c r="B84" s="258" t="s">
        <v>662</v>
      </c>
      <c r="C84" s="257" t="s">
        <v>2</v>
      </c>
      <c r="D84" s="256"/>
    </row>
    <row r="85" spans="1:4" x14ac:dyDescent="0.25">
      <c r="A85" s="267" t="s">
        <v>661</v>
      </c>
      <c r="B85" s="266" t="s">
        <v>660</v>
      </c>
      <c r="C85" s="265" t="s">
        <v>2</v>
      </c>
      <c r="D85" s="264"/>
    </row>
    <row r="86" spans="1:4" x14ac:dyDescent="0.25">
      <c r="A86" s="259" t="s">
        <v>659</v>
      </c>
      <c r="B86" s="258" t="s">
        <v>658</v>
      </c>
      <c r="C86" s="257" t="s">
        <v>2</v>
      </c>
      <c r="D86" s="256"/>
    </row>
    <row r="87" spans="1:4" x14ac:dyDescent="0.25">
      <c r="A87" s="267" t="s">
        <v>657</v>
      </c>
      <c r="B87" s="266" t="s">
        <v>656</v>
      </c>
      <c r="C87" s="265" t="s">
        <v>2</v>
      </c>
      <c r="D87" s="264"/>
    </row>
    <row r="88" spans="1:4" x14ac:dyDescent="0.25">
      <c r="A88" s="259" t="s">
        <v>655</v>
      </c>
      <c r="B88" s="258" t="s">
        <v>654</v>
      </c>
      <c r="C88" s="257" t="s">
        <v>2</v>
      </c>
      <c r="D88" s="256"/>
    </row>
    <row r="89" spans="1:4" x14ac:dyDescent="0.25">
      <c r="A89" s="271" t="s">
        <v>653</v>
      </c>
      <c r="B89" s="270" t="s">
        <v>652</v>
      </c>
      <c r="C89" s="269"/>
      <c r="D89" s="268"/>
    </row>
    <row r="90" spans="1:4" x14ac:dyDescent="0.25">
      <c r="A90" s="263" t="s">
        <v>651</v>
      </c>
      <c r="B90" s="262" t="s">
        <v>650</v>
      </c>
      <c r="C90" s="261"/>
      <c r="D90" s="260"/>
    </row>
    <row r="91" spans="1:4" x14ac:dyDescent="0.25">
      <c r="A91" s="267" t="s">
        <v>649</v>
      </c>
      <c r="B91" s="266" t="s">
        <v>648</v>
      </c>
      <c r="C91" s="265" t="s">
        <v>2</v>
      </c>
      <c r="D91" s="264">
        <v>302.51</v>
      </c>
    </row>
    <row r="92" spans="1:4" x14ac:dyDescent="0.25">
      <c r="A92" s="259" t="s">
        <v>647</v>
      </c>
      <c r="B92" s="258" t="s">
        <v>646</v>
      </c>
      <c r="C92" s="257" t="s">
        <v>2</v>
      </c>
      <c r="D92" s="256">
        <v>7542.92</v>
      </c>
    </row>
    <row r="93" spans="1:4" x14ac:dyDescent="0.25">
      <c r="A93" s="267" t="s">
        <v>645</v>
      </c>
      <c r="B93" s="266" t="s">
        <v>644</v>
      </c>
      <c r="C93" s="265" t="s">
        <v>2</v>
      </c>
      <c r="D93" s="264">
        <v>1336.28</v>
      </c>
    </row>
    <row r="94" spans="1:4" x14ac:dyDescent="0.25">
      <c r="A94" s="259" t="s">
        <v>643</v>
      </c>
      <c r="B94" s="258" t="s">
        <v>642</v>
      </c>
      <c r="C94" s="257" t="s">
        <v>2</v>
      </c>
      <c r="D94" s="256">
        <v>694.42</v>
      </c>
    </row>
    <row r="95" spans="1:4" x14ac:dyDescent="0.25">
      <c r="A95" s="267" t="s">
        <v>641</v>
      </c>
      <c r="B95" s="266" t="s">
        <v>640</v>
      </c>
      <c r="C95" s="265" t="s">
        <v>2</v>
      </c>
      <c r="D95" s="264">
        <v>26.64</v>
      </c>
    </row>
    <row r="96" spans="1:4" x14ac:dyDescent="0.25">
      <c r="A96" s="259" t="s">
        <v>639</v>
      </c>
      <c r="B96" s="258" t="s">
        <v>638</v>
      </c>
      <c r="C96" s="257" t="s">
        <v>2</v>
      </c>
      <c r="D96" s="256">
        <v>23.85</v>
      </c>
    </row>
    <row r="97" spans="1:4" x14ac:dyDescent="0.25">
      <c r="A97" s="267" t="s">
        <v>637</v>
      </c>
      <c r="B97" s="266" t="s">
        <v>636</v>
      </c>
      <c r="C97" s="265" t="s">
        <v>2</v>
      </c>
      <c r="D97" s="264">
        <v>87.8</v>
      </c>
    </row>
    <row r="98" spans="1:4" x14ac:dyDescent="0.25">
      <c r="A98" s="259" t="s">
        <v>635</v>
      </c>
      <c r="B98" s="258" t="s">
        <v>634</v>
      </c>
      <c r="C98" s="257" t="s">
        <v>2</v>
      </c>
      <c r="D98" s="256">
        <v>134.26</v>
      </c>
    </row>
    <row r="99" spans="1:4" x14ac:dyDescent="0.25">
      <c r="A99" s="267" t="s">
        <v>633</v>
      </c>
      <c r="B99" s="266" t="s">
        <v>632</v>
      </c>
      <c r="C99" s="265" t="s">
        <v>2</v>
      </c>
      <c r="D99" s="264">
        <v>60.47</v>
      </c>
    </row>
    <row r="100" spans="1:4" x14ac:dyDescent="0.25">
      <c r="A100" s="259" t="s">
        <v>631</v>
      </c>
      <c r="B100" s="258" t="s">
        <v>630</v>
      </c>
      <c r="C100" s="257" t="s">
        <v>2</v>
      </c>
      <c r="D100" s="256">
        <v>3133.37</v>
      </c>
    </row>
    <row r="101" spans="1:4" x14ac:dyDescent="0.25">
      <c r="A101" s="267" t="s">
        <v>629</v>
      </c>
      <c r="B101" s="266" t="s">
        <v>628</v>
      </c>
      <c r="C101" s="265" t="s">
        <v>2</v>
      </c>
      <c r="D101" s="264">
        <v>3433.27</v>
      </c>
    </row>
    <row r="102" spans="1:4" x14ac:dyDescent="0.25">
      <c r="A102" s="259" t="s">
        <v>627</v>
      </c>
      <c r="B102" s="258" t="s">
        <v>626</v>
      </c>
      <c r="C102" s="257" t="s">
        <v>2</v>
      </c>
      <c r="D102" s="256">
        <v>8693.8700000000008</v>
      </c>
    </row>
    <row r="103" spans="1:4" x14ac:dyDescent="0.25">
      <c r="A103" s="267" t="s">
        <v>625</v>
      </c>
      <c r="B103" s="266" t="s">
        <v>624</v>
      </c>
      <c r="C103" s="265" t="s">
        <v>2</v>
      </c>
      <c r="D103" s="264">
        <v>29.89</v>
      </c>
    </row>
    <row r="104" spans="1:4" x14ac:dyDescent="0.25">
      <c r="A104" s="259" t="s">
        <v>623</v>
      </c>
      <c r="B104" s="258" t="s">
        <v>622</v>
      </c>
      <c r="C104" s="257" t="s">
        <v>2</v>
      </c>
      <c r="D104" s="256">
        <v>14.28</v>
      </c>
    </row>
    <row r="105" spans="1:4" x14ac:dyDescent="0.25">
      <c r="A105" s="267" t="s">
        <v>621</v>
      </c>
      <c r="B105" s="266" t="s">
        <v>620</v>
      </c>
      <c r="C105" s="265" t="s">
        <v>2</v>
      </c>
      <c r="D105" s="264">
        <v>3.14</v>
      </c>
    </row>
    <row r="106" spans="1:4" x14ac:dyDescent="0.25">
      <c r="A106" s="259" t="s">
        <v>619</v>
      </c>
      <c r="B106" s="258" t="s">
        <v>618</v>
      </c>
      <c r="C106" s="257" t="s">
        <v>2</v>
      </c>
      <c r="D106" s="256">
        <v>99.59</v>
      </c>
    </row>
    <row r="107" spans="1:4" x14ac:dyDescent="0.25">
      <c r="A107" s="267" t="s">
        <v>617</v>
      </c>
      <c r="B107" s="266" t="s">
        <v>616</v>
      </c>
      <c r="C107" s="265" t="s">
        <v>2</v>
      </c>
      <c r="D107" s="264">
        <v>66.489999999999995</v>
      </c>
    </row>
    <row r="108" spans="1:4" x14ac:dyDescent="0.25">
      <c r="A108" s="259" t="s">
        <v>615</v>
      </c>
      <c r="B108" s="258" t="s">
        <v>614</v>
      </c>
      <c r="C108" s="257" t="s">
        <v>2</v>
      </c>
      <c r="D108" s="256">
        <v>273.75</v>
      </c>
    </row>
    <row r="109" spans="1:4" x14ac:dyDescent="0.25">
      <c r="A109" s="267" t="s">
        <v>613</v>
      </c>
      <c r="B109" s="266" t="s">
        <v>612</v>
      </c>
      <c r="C109" s="265" t="s">
        <v>2</v>
      </c>
      <c r="D109" s="264">
        <v>2.0299999999999998</v>
      </c>
    </row>
    <row r="110" spans="1:4" x14ac:dyDescent="0.25">
      <c r="A110" s="259" t="s">
        <v>611</v>
      </c>
      <c r="B110" s="258" t="s">
        <v>610</v>
      </c>
      <c r="C110" s="257" t="s">
        <v>2</v>
      </c>
      <c r="D110" s="256">
        <v>13.64</v>
      </c>
    </row>
    <row r="111" spans="1:4" x14ac:dyDescent="0.25">
      <c r="A111" s="267" t="s">
        <v>609</v>
      </c>
      <c r="B111" s="266" t="s">
        <v>608</v>
      </c>
      <c r="C111" s="265" t="s">
        <v>2</v>
      </c>
      <c r="D111" s="264">
        <v>36.49</v>
      </c>
    </row>
    <row r="112" spans="1:4" x14ac:dyDescent="0.25">
      <c r="A112" s="259" t="s">
        <v>607</v>
      </c>
      <c r="B112" s="258" t="s">
        <v>606</v>
      </c>
      <c r="C112" s="257" t="s">
        <v>2</v>
      </c>
      <c r="D112" s="256">
        <v>18.940000000000001</v>
      </c>
    </row>
    <row r="113" spans="1:4" x14ac:dyDescent="0.25">
      <c r="A113" s="267" t="s">
        <v>605</v>
      </c>
      <c r="B113" s="266" t="s">
        <v>604</v>
      </c>
      <c r="C113" s="265" t="s">
        <v>2</v>
      </c>
      <c r="D113" s="264">
        <v>359.99</v>
      </c>
    </row>
    <row r="114" spans="1:4" x14ac:dyDescent="0.25">
      <c r="A114" s="259" t="s">
        <v>603</v>
      </c>
      <c r="B114" s="258" t="s">
        <v>602</v>
      </c>
      <c r="C114" s="257" t="s">
        <v>2</v>
      </c>
      <c r="D114" s="256">
        <v>40.58</v>
      </c>
    </row>
    <row r="115" spans="1:4" x14ac:dyDescent="0.25">
      <c r="A115" s="271" t="s">
        <v>601</v>
      </c>
      <c r="B115" s="270" t="s">
        <v>600</v>
      </c>
      <c r="C115" s="269"/>
      <c r="D115" s="268"/>
    </row>
    <row r="116" spans="1:4" x14ac:dyDescent="0.25">
      <c r="A116" s="263" t="s">
        <v>599</v>
      </c>
      <c r="B116" s="262" t="s">
        <v>598</v>
      </c>
      <c r="C116" s="261"/>
      <c r="D116" s="260"/>
    </row>
    <row r="117" spans="1:4" x14ac:dyDescent="0.25">
      <c r="A117" s="267" t="s">
        <v>597</v>
      </c>
      <c r="B117" s="266" t="s">
        <v>596</v>
      </c>
      <c r="C117" s="265" t="s">
        <v>2</v>
      </c>
      <c r="D117" s="264">
        <v>18.149999999999999</v>
      </c>
    </row>
    <row r="118" spans="1:4" x14ac:dyDescent="0.25">
      <c r="A118" s="259" t="s">
        <v>595</v>
      </c>
      <c r="B118" s="258" t="s">
        <v>594</v>
      </c>
      <c r="C118" s="257" t="s">
        <v>2</v>
      </c>
      <c r="D118" s="256">
        <v>236.54</v>
      </c>
    </row>
    <row r="119" spans="1:4" x14ac:dyDescent="0.25">
      <c r="A119" s="271" t="s">
        <v>593</v>
      </c>
      <c r="B119" s="270" t="s">
        <v>592</v>
      </c>
      <c r="C119" s="269"/>
      <c r="D119" s="268"/>
    </row>
    <row r="120" spans="1:4" x14ac:dyDescent="0.25">
      <c r="A120" s="263" t="s">
        <v>591</v>
      </c>
      <c r="B120" s="262" t="s">
        <v>590</v>
      </c>
      <c r="C120" s="261"/>
      <c r="D120" s="260">
        <f>914.6202+63.686+7.2164</f>
        <v>985.52260000000001</v>
      </c>
    </row>
    <row r="121" spans="1:4" ht="26.4" x14ac:dyDescent="0.25">
      <c r="A121" s="267" t="s">
        <v>589</v>
      </c>
      <c r="B121" s="266" t="s">
        <v>588</v>
      </c>
      <c r="C121" s="265" t="s">
        <v>3</v>
      </c>
      <c r="D121" s="264">
        <v>2</v>
      </c>
    </row>
    <row r="122" spans="1:4" ht="26.4" x14ac:dyDescent="0.25">
      <c r="A122" s="259" t="s">
        <v>587</v>
      </c>
      <c r="B122" s="258" t="s">
        <v>586</v>
      </c>
      <c r="C122" s="257" t="s">
        <v>3</v>
      </c>
      <c r="D122" s="256">
        <v>5</v>
      </c>
    </row>
    <row r="123" spans="1:4" ht="26.4" x14ac:dyDescent="0.25">
      <c r="A123" s="267" t="s">
        <v>585</v>
      </c>
      <c r="B123" s="266" t="s">
        <v>584</v>
      </c>
      <c r="C123" s="265" t="s">
        <v>3</v>
      </c>
      <c r="D123" s="264">
        <v>9</v>
      </c>
    </row>
    <row r="124" spans="1:4" x14ac:dyDescent="0.25">
      <c r="A124" s="259" t="s">
        <v>583</v>
      </c>
      <c r="B124" s="258" t="s">
        <v>582</v>
      </c>
      <c r="C124" s="257" t="s">
        <v>3</v>
      </c>
      <c r="D124" s="256">
        <v>1</v>
      </c>
    </row>
    <row r="125" spans="1:4" x14ac:dyDescent="0.25">
      <c r="A125" s="267" t="s">
        <v>581</v>
      </c>
      <c r="B125" s="266" t="s">
        <v>580</v>
      </c>
      <c r="C125" s="265" t="s">
        <v>3</v>
      </c>
      <c r="D125" s="264">
        <v>10</v>
      </c>
    </row>
    <row r="126" spans="1:4" x14ac:dyDescent="0.25">
      <c r="A126" s="259" t="s">
        <v>579</v>
      </c>
      <c r="B126" s="258" t="s">
        <v>578</v>
      </c>
      <c r="C126" s="257" t="s">
        <v>3</v>
      </c>
      <c r="D126" s="256">
        <v>5</v>
      </c>
    </row>
    <row r="127" spans="1:4" x14ac:dyDescent="0.25">
      <c r="A127" s="267" t="s">
        <v>577</v>
      </c>
      <c r="B127" s="266" t="s">
        <v>576</v>
      </c>
      <c r="C127" s="265" t="s">
        <v>3</v>
      </c>
      <c r="D127" s="264">
        <v>10</v>
      </c>
    </row>
    <row r="128" spans="1:4" ht="26.4" x14ac:dyDescent="0.25">
      <c r="A128" s="259" t="s">
        <v>575</v>
      </c>
      <c r="B128" s="258" t="s">
        <v>574</v>
      </c>
      <c r="C128" s="257" t="s">
        <v>3</v>
      </c>
      <c r="D128" s="256">
        <v>26</v>
      </c>
    </row>
    <row r="129" spans="1:4" x14ac:dyDescent="0.25">
      <c r="A129" s="267" t="s">
        <v>573</v>
      </c>
      <c r="B129" s="266" t="s">
        <v>572</v>
      </c>
      <c r="C129" s="265" t="s">
        <v>3</v>
      </c>
      <c r="D129" s="264">
        <v>16</v>
      </c>
    </row>
    <row r="130" spans="1:4" x14ac:dyDescent="0.25">
      <c r="A130" s="259" t="s">
        <v>571</v>
      </c>
      <c r="B130" s="258" t="s">
        <v>570</v>
      </c>
      <c r="C130" s="257" t="s">
        <v>3</v>
      </c>
      <c r="D130" s="256">
        <v>187</v>
      </c>
    </row>
    <row r="131" spans="1:4" x14ac:dyDescent="0.25">
      <c r="A131" s="267" t="s">
        <v>569</v>
      </c>
      <c r="B131" s="266" t="s">
        <v>568</v>
      </c>
      <c r="C131" s="265" t="s">
        <v>3</v>
      </c>
      <c r="D131" s="264">
        <v>201</v>
      </c>
    </row>
    <row r="132" spans="1:4" x14ac:dyDescent="0.25">
      <c r="A132" s="259" t="s">
        <v>567</v>
      </c>
      <c r="B132" s="258" t="s">
        <v>566</v>
      </c>
      <c r="C132" s="257" t="s">
        <v>3</v>
      </c>
      <c r="D132" s="256">
        <v>69</v>
      </c>
    </row>
    <row r="133" spans="1:4" x14ac:dyDescent="0.25">
      <c r="A133" s="267" t="s">
        <v>565</v>
      </c>
      <c r="B133" s="266" t="s">
        <v>564</v>
      </c>
      <c r="C133" s="265" t="s">
        <v>3</v>
      </c>
      <c r="D133" s="264">
        <v>3</v>
      </c>
    </row>
    <row r="134" spans="1:4" x14ac:dyDescent="0.25">
      <c r="A134" s="259" t="s">
        <v>563</v>
      </c>
      <c r="B134" s="258" t="s">
        <v>562</v>
      </c>
      <c r="C134" s="257" t="s">
        <v>3</v>
      </c>
      <c r="D134" s="256">
        <v>1</v>
      </c>
    </row>
    <row r="135" spans="1:4" x14ac:dyDescent="0.25">
      <c r="A135" s="267" t="s">
        <v>561</v>
      </c>
      <c r="B135" s="266" t="s">
        <v>560</v>
      </c>
      <c r="C135" s="265" t="s">
        <v>3</v>
      </c>
      <c r="D135" s="264">
        <v>1</v>
      </c>
    </row>
    <row r="136" spans="1:4" x14ac:dyDescent="0.25">
      <c r="A136" s="259" t="s">
        <v>559</v>
      </c>
      <c r="B136" s="258" t="s">
        <v>558</v>
      </c>
      <c r="C136" s="257" t="s">
        <v>3</v>
      </c>
      <c r="D136" s="256">
        <v>1</v>
      </c>
    </row>
    <row r="137" spans="1:4" x14ac:dyDescent="0.25">
      <c r="A137" s="267" t="s">
        <v>557</v>
      </c>
      <c r="B137" s="266" t="s">
        <v>556</v>
      </c>
      <c r="C137" s="265" t="s">
        <v>3</v>
      </c>
      <c r="D137" s="264">
        <v>1</v>
      </c>
    </row>
    <row r="138" spans="1:4" ht="26.4" x14ac:dyDescent="0.25">
      <c r="A138" s="259" t="s">
        <v>555</v>
      </c>
      <c r="B138" s="258" t="s">
        <v>554</v>
      </c>
      <c r="C138" s="257" t="s">
        <v>3</v>
      </c>
      <c r="D138" s="256">
        <v>16</v>
      </c>
    </row>
    <row r="139" spans="1:4" ht="26.4" x14ac:dyDescent="0.25">
      <c r="A139" s="267" t="s">
        <v>553</v>
      </c>
      <c r="B139" s="266" t="s">
        <v>552</v>
      </c>
      <c r="C139" s="265" t="s">
        <v>3</v>
      </c>
      <c r="D139" s="264">
        <v>24</v>
      </c>
    </row>
    <row r="140" spans="1:4" ht="26.4" x14ac:dyDescent="0.25">
      <c r="A140" s="259" t="s">
        <v>551</v>
      </c>
      <c r="B140" s="258" t="s">
        <v>550</v>
      </c>
      <c r="C140" s="257" t="s">
        <v>3</v>
      </c>
      <c r="D140" s="256">
        <v>24</v>
      </c>
    </row>
    <row r="141" spans="1:4" ht="26.4" x14ac:dyDescent="0.25">
      <c r="A141" s="267" t="s">
        <v>549</v>
      </c>
      <c r="B141" s="266" t="s">
        <v>548</v>
      </c>
      <c r="C141" s="265" t="s">
        <v>3</v>
      </c>
      <c r="D141" s="264">
        <v>9</v>
      </c>
    </row>
    <row r="142" spans="1:4" ht="26.4" x14ac:dyDescent="0.25">
      <c r="A142" s="259" t="s">
        <v>547</v>
      </c>
      <c r="B142" s="258" t="s">
        <v>546</v>
      </c>
      <c r="C142" s="257" t="s">
        <v>3</v>
      </c>
      <c r="D142" s="256">
        <v>26</v>
      </c>
    </row>
    <row r="143" spans="1:4" ht="26.4" x14ac:dyDescent="0.25">
      <c r="A143" s="267" t="s">
        <v>545</v>
      </c>
      <c r="B143" s="266" t="s">
        <v>544</v>
      </c>
      <c r="C143" s="265" t="s">
        <v>3</v>
      </c>
      <c r="D143" s="264">
        <v>5</v>
      </c>
    </row>
    <row r="144" spans="1:4" x14ac:dyDescent="0.25">
      <c r="A144" s="259" t="s">
        <v>543</v>
      </c>
      <c r="B144" s="258" t="s">
        <v>542</v>
      </c>
      <c r="C144" s="257" t="s">
        <v>3</v>
      </c>
      <c r="D144" s="256">
        <v>5</v>
      </c>
    </row>
    <row r="145" spans="1:4" x14ac:dyDescent="0.25">
      <c r="A145" s="267" t="s">
        <v>541</v>
      </c>
      <c r="B145" s="266" t="s">
        <v>540</v>
      </c>
      <c r="C145" s="265" t="s">
        <v>3</v>
      </c>
      <c r="D145" s="264">
        <v>4</v>
      </c>
    </row>
    <row r="146" spans="1:4" x14ac:dyDescent="0.25">
      <c r="A146" s="259" t="s">
        <v>539</v>
      </c>
      <c r="B146" s="258" t="s">
        <v>538</v>
      </c>
      <c r="C146" s="257" t="s">
        <v>3</v>
      </c>
      <c r="D146" s="256">
        <v>36</v>
      </c>
    </row>
    <row r="147" spans="1:4" x14ac:dyDescent="0.25">
      <c r="A147" s="267" t="s">
        <v>537</v>
      </c>
      <c r="B147" s="266" t="s">
        <v>536</v>
      </c>
      <c r="C147" s="265" t="s">
        <v>3</v>
      </c>
      <c r="D147" s="264">
        <v>41</v>
      </c>
    </row>
    <row r="148" spans="1:4" x14ac:dyDescent="0.25">
      <c r="A148" s="259" t="s">
        <v>535</v>
      </c>
      <c r="B148" s="258" t="s">
        <v>534</v>
      </c>
      <c r="C148" s="257" t="s">
        <v>3</v>
      </c>
      <c r="D148" s="256">
        <v>4</v>
      </c>
    </row>
    <row r="149" spans="1:4" x14ac:dyDescent="0.25">
      <c r="A149" s="267" t="s">
        <v>533</v>
      </c>
      <c r="B149" s="266" t="s">
        <v>532</v>
      </c>
      <c r="C149" s="265" t="s">
        <v>3</v>
      </c>
      <c r="D149" s="264">
        <v>1</v>
      </c>
    </row>
    <row r="150" spans="1:4" x14ac:dyDescent="0.25">
      <c r="A150" s="259" t="s">
        <v>531</v>
      </c>
      <c r="B150" s="258" t="s">
        <v>530</v>
      </c>
      <c r="C150" s="257" t="s">
        <v>3</v>
      </c>
      <c r="D150" s="256">
        <v>1</v>
      </c>
    </row>
    <row r="151" spans="1:4" x14ac:dyDescent="0.25">
      <c r="A151" s="271" t="s">
        <v>529</v>
      </c>
      <c r="B151" s="270" t="s">
        <v>528</v>
      </c>
      <c r="C151" s="269"/>
      <c r="D151" s="268"/>
    </row>
    <row r="152" spans="1:4" x14ac:dyDescent="0.25">
      <c r="A152" s="263" t="s">
        <v>527</v>
      </c>
      <c r="B152" s="262" t="s">
        <v>526</v>
      </c>
      <c r="C152" s="261"/>
      <c r="D152" s="260"/>
    </row>
    <row r="153" spans="1:4" x14ac:dyDescent="0.25">
      <c r="A153" s="267" t="s">
        <v>525</v>
      </c>
      <c r="B153" s="266" t="s">
        <v>524</v>
      </c>
      <c r="C153" s="265" t="s">
        <v>3</v>
      </c>
      <c r="D153" s="264">
        <v>48</v>
      </c>
    </row>
    <row r="154" spans="1:4" x14ac:dyDescent="0.25">
      <c r="A154" s="263" t="s">
        <v>523</v>
      </c>
      <c r="B154" s="262" t="s">
        <v>522</v>
      </c>
      <c r="C154" s="261"/>
      <c r="D154" s="260"/>
    </row>
    <row r="155" spans="1:4" x14ac:dyDescent="0.25">
      <c r="A155" s="259" t="s">
        <v>521</v>
      </c>
      <c r="B155" s="258" t="s">
        <v>520</v>
      </c>
      <c r="C155" s="257" t="s">
        <v>22</v>
      </c>
      <c r="D155" s="256">
        <v>1.41</v>
      </c>
    </row>
  </sheetData>
  <mergeCells count="7">
    <mergeCell ref="A1:D1"/>
    <mergeCell ref="B10:B11"/>
    <mergeCell ref="C10:C11"/>
    <mergeCell ref="A10:A11"/>
    <mergeCell ref="D10:D11"/>
    <mergeCell ref="A9:D9"/>
    <mergeCell ref="A8:D8"/>
  </mergeCells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19" zoomScale="85" zoomScaleNormal="85" zoomScaleSheetLayoutView="95" workbookViewId="0">
      <selection activeCell="D23" sqref="D23"/>
    </sheetView>
  </sheetViews>
  <sheetFormatPr defaultColWidth="9.109375" defaultRowHeight="19.8" x14ac:dyDescent="0.3"/>
  <cols>
    <col min="1" max="1" width="53" style="45" bestFit="1" customWidth="1"/>
    <col min="2" max="4" width="27" style="45" customWidth="1"/>
    <col min="5" max="5" width="14" style="45" customWidth="1"/>
    <col min="6" max="16384" width="9.109375" style="1"/>
  </cols>
  <sheetData>
    <row r="1" spans="1:7" x14ac:dyDescent="0.3">
      <c r="A1" s="48"/>
      <c r="B1" s="48"/>
      <c r="C1" s="48"/>
      <c r="D1" s="48"/>
      <c r="E1" s="48"/>
      <c r="G1" s="2"/>
    </row>
    <row r="2" spans="1:7" ht="26.4" x14ac:dyDescent="0.3">
      <c r="A2" s="297" t="s">
        <v>257</v>
      </c>
      <c r="B2" s="298"/>
      <c r="C2" s="298"/>
      <c r="D2" s="298"/>
      <c r="E2" s="299"/>
      <c r="G2" s="2"/>
    </row>
    <row r="3" spans="1:7" x14ac:dyDescent="0.3">
      <c r="A3" s="50"/>
      <c r="B3" s="50"/>
      <c r="C3" s="50"/>
      <c r="D3" s="48"/>
      <c r="E3" s="48"/>
      <c r="G3" s="2"/>
    </row>
    <row r="4" spans="1:7" s="55" customFormat="1" ht="20.399999999999999" x14ac:dyDescent="0.3">
      <c r="A4" s="52" t="s">
        <v>256</v>
      </c>
      <c r="B4" s="53"/>
      <c r="C4" s="53"/>
      <c r="D4" s="53"/>
      <c r="E4" s="53"/>
    </row>
    <row r="5" spans="1:7" s="55" customFormat="1" ht="20.399999999999999" x14ac:dyDescent="0.3">
      <c r="A5" s="56"/>
      <c r="B5" s="57"/>
      <c r="C5" s="57"/>
      <c r="D5" s="59"/>
      <c r="E5" s="59"/>
    </row>
    <row r="6" spans="1:7" s="55" customFormat="1" ht="42" customHeight="1" x14ac:dyDescent="0.3">
      <c r="A6" s="63" t="s">
        <v>14</v>
      </c>
      <c r="B6" s="301" t="s">
        <v>5</v>
      </c>
      <c r="C6" s="302"/>
      <c r="D6" s="71" t="s">
        <v>16</v>
      </c>
      <c r="E6" s="59"/>
    </row>
    <row r="7" spans="1:7" s="55" customFormat="1" ht="20.399999999999999" x14ac:dyDescent="0.3">
      <c r="A7" s="66" t="s">
        <v>255</v>
      </c>
      <c r="B7" s="62">
        <v>5.5</v>
      </c>
      <c r="C7" s="62" t="s">
        <v>6</v>
      </c>
      <c r="D7" s="89">
        <f>B7*DADOS_INICIAIS!$E$9*1.1</f>
        <v>79544.069000000018</v>
      </c>
      <c r="E7" s="57"/>
    </row>
    <row r="8" spans="1:7" s="55" customFormat="1" ht="20.399999999999999" x14ac:dyDescent="0.3">
      <c r="A8" s="66" t="s">
        <v>254</v>
      </c>
      <c r="B8" s="62">
        <v>10</v>
      </c>
      <c r="C8" s="62" t="s">
        <v>6</v>
      </c>
      <c r="D8" s="89">
        <f>B8*DADOS_INICIAIS!$E$9*1.1</f>
        <v>144625.58000000005</v>
      </c>
      <c r="E8" s="57"/>
    </row>
    <row r="9" spans="1:7" s="55" customFormat="1" ht="20.399999999999999" x14ac:dyDescent="0.3">
      <c r="A9" s="66" t="s">
        <v>253</v>
      </c>
      <c r="B9" s="62">
        <v>30</v>
      </c>
      <c r="C9" s="62" t="s">
        <v>6</v>
      </c>
      <c r="D9" s="89">
        <f>B9*DADOS_INICIAIS!$E$9*1.1</f>
        <v>433876.74000000005</v>
      </c>
      <c r="E9" s="57"/>
    </row>
    <row r="10" spans="1:7" s="55" customFormat="1" ht="20.399999999999999" x14ac:dyDescent="0.3">
      <c r="A10" s="66" t="s">
        <v>252</v>
      </c>
      <c r="B10" s="62">
        <v>18</v>
      </c>
      <c r="C10" s="62" t="s">
        <v>6</v>
      </c>
      <c r="D10" s="89">
        <f>B10*DADOS_INICIAIS!$E$9*1.1</f>
        <v>260326.04400000002</v>
      </c>
      <c r="E10" s="57"/>
    </row>
    <row r="11" spans="1:7" s="55" customFormat="1" ht="20.399999999999999" x14ac:dyDescent="0.3">
      <c r="A11" s="66" t="s">
        <v>251</v>
      </c>
      <c r="B11" s="62">
        <v>15</v>
      </c>
      <c r="C11" s="62" t="s">
        <v>6</v>
      </c>
      <c r="D11" s="89">
        <f>B11*DADOS_INICIAIS!$E$9*1.1</f>
        <v>216938.37000000002</v>
      </c>
      <c r="E11" s="57"/>
    </row>
    <row r="12" spans="1:7" s="55" customFormat="1" ht="20.399999999999999" x14ac:dyDescent="0.3">
      <c r="A12" s="66" t="s">
        <v>250</v>
      </c>
      <c r="B12" s="62">
        <v>15</v>
      </c>
      <c r="C12" s="62" t="s">
        <v>6</v>
      </c>
      <c r="D12" s="89">
        <f>B12*DADOS_INICIAIS!$E$9*1.1</f>
        <v>216938.37000000002</v>
      </c>
      <c r="E12" s="57"/>
    </row>
    <row r="13" spans="1:7" s="55" customFormat="1" ht="20.399999999999999" x14ac:dyDescent="0.3">
      <c r="A13" s="66" t="s">
        <v>249</v>
      </c>
      <c r="B13" s="62">
        <v>60</v>
      </c>
      <c r="C13" s="62" t="s">
        <v>6</v>
      </c>
      <c r="D13" s="89">
        <f>B13*DADOS_INICIAIS!$E$9*1.1</f>
        <v>867753.4800000001</v>
      </c>
      <c r="E13" s="57">
        <f>D13/DADOS_INICIAIS!$E$9</f>
        <v>66</v>
      </c>
    </row>
    <row r="14" spans="1:7" s="55" customFormat="1" ht="20.399999999999999" x14ac:dyDescent="0.3">
      <c r="A14" s="296" t="s">
        <v>17</v>
      </c>
      <c r="B14" s="296"/>
      <c r="C14" s="296"/>
      <c r="D14" s="90">
        <f>SUM(D7:D13)</f>
        <v>2220002.6530000004</v>
      </c>
      <c r="E14" s="60"/>
    </row>
    <row r="15" spans="1:7" s="55" customFormat="1" ht="20.399999999999999" x14ac:dyDescent="0.3">
      <c r="A15" s="300"/>
      <c r="B15" s="300"/>
      <c r="C15" s="300"/>
      <c r="D15" s="100"/>
      <c r="E15" s="59"/>
    </row>
    <row r="16" spans="1:7" s="55" customFormat="1" ht="20.399999999999999" x14ac:dyDescent="0.3">
      <c r="A16" s="52" t="s">
        <v>248</v>
      </c>
      <c r="B16" s="53"/>
      <c r="C16" s="53"/>
      <c r="D16" s="98"/>
      <c r="E16" s="53"/>
    </row>
    <row r="17" spans="1:5" s="55" customFormat="1" ht="20.399999999999999" x14ac:dyDescent="0.3">
      <c r="A17" s="56"/>
      <c r="B17" s="57"/>
      <c r="C17" s="57"/>
      <c r="D17" s="100"/>
      <c r="E17" s="59"/>
    </row>
    <row r="18" spans="1:5" s="55" customFormat="1" ht="42" customHeight="1" x14ac:dyDescent="0.3">
      <c r="A18" s="63" t="s">
        <v>14</v>
      </c>
      <c r="B18" s="301" t="s">
        <v>5</v>
      </c>
      <c r="C18" s="302"/>
      <c r="D18" s="90" t="s">
        <v>16</v>
      </c>
      <c r="E18" s="59"/>
    </row>
    <row r="19" spans="1:5" s="55" customFormat="1" ht="20.399999999999999" x14ac:dyDescent="0.3">
      <c r="A19" s="66" t="s">
        <v>247</v>
      </c>
      <c r="B19" s="62">
        <v>25</v>
      </c>
      <c r="C19" s="62" t="s">
        <v>6</v>
      </c>
      <c r="D19" s="89">
        <f>B19*DADOS_INICIAIS!$E$9*1.1</f>
        <v>361563.95</v>
      </c>
      <c r="E19" s="57"/>
    </row>
    <row r="20" spans="1:5" s="55" customFormat="1" ht="20.399999999999999" x14ac:dyDescent="0.3">
      <c r="A20" s="66" t="s">
        <v>246</v>
      </c>
      <c r="B20" s="62">
        <v>20</v>
      </c>
      <c r="C20" s="62" t="s">
        <v>6</v>
      </c>
      <c r="D20" s="89">
        <f>B20*DADOS_INICIAIS!$E$9*1.1</f>
        <v>289251.16000000009</v>
      </c>
      <c r="E20" s="57"/>
    </row>
    <row r="21" spans="1:5" s="55" customFormat="1" ht="20.399999999999999" x14ac:dyDescent="0.3">
      <c r="A21" s="66" t="s">
        <v>245</v>
      </c>
      <c r="B21" s="62">
        <v>10</v>
      </c>
      <c r="C21" s="62" t="s">
        <v>6</v>
      </c>
      <c r="D21" s="89">
        <f>B21*DADOS_INICIAIS!$E$9*1.1</f>
        <v>144625.58000000005</v>
      </c>
      <c r="E21" s="57"/>
    </row>
    <row r="22" spans="1:5" s="55" customFormat="1" ht="20.399999999999999" x14ac:dyDescent="0.3">
      <c r="A22" s="66" t="s">
        <v>244</v>
      </c>
      <c r="B22" s="62">
        <v>15</v>
      </c>
      <c r="C22" s="62" t="s">
        <v>6</v>
      </c>
      <c r="D22" s="89">
        <f>B22*DADOS_INICIAIS!$E$9*1.1</f>
        <v>216938.37000000002</v>
      </c>
      <c r="E22" s="57"/>
    </row>
    <row r="23" spans="1:5" s="55" customFormat="1" ht="20.399999999999999" x14ac:dyDescent="0.3">
      <c r="A23" s="66" t="s">
        <v>243</v>
      </c>
      <c r="B23" s="62">
        <v>50</v>
      </c>
      <c r="C23" s="62" t="s">
        <v>6</v>
      </c>
      <c r="D23" s="89">
        <f>B23*DADOS_INICIAIS!$E$9*1.1</f>
        <v>723127.9</v>
      </c>
      <c r="E23" s="57"/>
    </row>
    <row r="24" spans="1:5" s="55" customFormat="1" ht="20.399999999999999" x14ac:dyDescent="0.3">
      <c r="A24" s="66" t="s">
        <v>242</v>
      </c>
      <c r="B24" s="62">
        <v>55</v>
      </c>
      <c r="C24" s="62" t="s">
        <v>6</v>
      </c>
      <c r="D24" s="89">
        <f>B24*DADOS_INICIAIS!$E$9*1.1</f>
        <v>795440.69000000006</v>
      </c>
      <c r="E24" s="57">
        <f>D24/DADOS_INICIAIS!$E$9</f>
        <v>60.5</v>
      </c>
    </row>
    <row r="25" spans="1:5" s="55" customFormat="1" ht="20.399999999999999" x14ac:dyDescent="0.3">
      <c r="A25" s="296" t="s">
        <v>17</v>
      </c>
      <c r="B25" s="296"/>
      <c r="C25" s="296"/>
      <c r="D25" s="90">
        <f>SUM(D19:D24)</f>
        <v>2530947.6500000004</v>
      </c>
      <c r="E25" s="60"/>
    </row>
    <row r="26" spans="1:5" s="55" customFormat="1" ht="20.399999999999999" x14ac:dyDescent="0.3">
      <c r="A26" s="300"/>
      <c r="B26" s="300"/>
      <c r="C26" s="300"/>
      <c r="D26" s="100"/>
      <c r="E26" s="59"/>
    </row>
    <row r="27" spans="1:5" s="55" customFormat="1" ht="20.399999999999999" x14ac:dyDescent="0.3">
      <c r="A27" s="52" t="s">
        <v>241</v>
      </c>
      <c r="B27" s="53"/>
      <c r="C27" s="53"/>
      <c r="D27" s="98"/>
      <c r="E27" s="53"/>
    </row>
    <row r="28" spans="1:5" s="55" customFormat="1" ht="20.399999999999999" x14ac:dyDescent="0.3">
      <c r="A28" s="56"/>
      <c r="B28" s="57"/>
      <c r="C28" s="57"/>
      <c r="D28" s="100"/>
      <c r="E28" s="59"/>
    </row>
    <row r="29" spans="1:5" s="55" customFormat="1" ht="42" customHeight="1" x14ac:dyDescent="0.3">
      <c r="A29" s="63" t="s">
        <v>14</v>
      </c>
      <c r="B29" s="301" t="s">
        <v>5</v>
      </c>
      <c r="C29" s="302"/>
      <c r="D29" s="90" t="s">
        <v>16</v>
      </c>
      <c r="E29" s="59"/>
    </row>
    <row r="30" spans="1:5" s="55" customFormat="1" ht="26.25" customHeight="1" x14ac:dyDescent="0.3">
      <c r="A30" s="70" t="s">
        <v>240</v>
      </c>
      <c r="B30" s="62">
        <v>20</v>
      </c>
      <c r="C30" s="62" t="s">
        <v>6</v>
      </c>
      <c r="D30" s="89">
        <f>B30*DADOS_INICIAIS!$E$9*1.1</f>
        <v>289251.16000000009</v>
      </c>
      <c r="E30" s="57"/>
    </row>
    <row r="31" spans="1:5" s="55" customFormat="1" ht="26.25" customHeight="1" x14ac:dyDescent="0.3">
      <c r="A31" s="70" t="s">
        <v>239</v>
      </c>
      <c r="B31" s="62">
        <v>15</v>
      </c>
      <c r="C31" s="62" t="s">
        <v>6</v>
      </c>
      <c r="D31" s="89">
        <f>B31*DADOS_INICIAIS!$E$9*1.1</f>
        <v>216938.37000000002</v>
      </c>
      <c r="E31" s="57"/>
    </row>
    <row r="32" spans="1:5" s="55" customFormat="1" ht="20.399999999999999" x14ac:dyDescent="0.3">
      <c r="A32" s="70" t="s">
        <v>238</v>
      </c>
      <c r="B32" s="62">
        <v>8</v>
      </c>
      <c r="C32" s="62" t="s">
        <v>6</v>
      </c>
      <c r="D32" s="89">
        <f>B32*DADOS_INICIAIS!$E$9*1.1</f>
        <v>115700.46400000002</v>
      </c>
      <c r="E32" s="57"/>
    </row>
    <row r="33" spans="1:9" s="55" customFormat="1" ht="20.399999999999999" x14ac:dyDescent="0.3">
      <c r="A33" s="296" t="s">
        <v>17</v>
      </c>
      <c r="B33" s="296"/>
      <c r="C33" s="296"/>
      <c r="D33" s="90">
        <f>SUM(D30:D32)</f>
        <v>621889.99400000018</v>
      </c>
      <c r="E33" s="60"/>
    </row>
    <row r="34" spans="1:9" x14ac:dyDescent="0.3">
      <c r="D34" s="107"/>
      <c r="I34" s="47"/>
    </row>
    <row r="35" spans="1:9" ht="23.25" customHeight="1" x14ac:dyDescent="0.3">
      <c r="A35" s="293" t="s">
        <v>237</v>
      </c>
      <c r="B35" s="294"/>
      <c r="C35" s="294"/>
      <c r="D35" s="108">
        <f>D14+D25+D33</f>
        <v>5372840.2970000012</v>
      </c>
      <c r="E35" s="108">
        <f>D35/DADOS_INICIAIS!E9</f>
        <v>408.65000000000009</v>
      </c>
    </row>
    <row r="37" spans="1:9" x14ac:dyDescent="0.3">
      <c r="E37" s="195">
        <f>E35/1.1</f>
        <v>371.50000000000006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J40"/>
  <sheetViews>
    <sheetView showGridLines="0" topLeftCell="A3" zoomScale="85" zoomScaleNormal="85" zoomScaleSheetLayoutView="95" workbookViewId="0">
      <selection activeCell="D10" sqref="D10"/>
    </sheetView>
  </sheetViews>
  <sheetFormatPr defaultColWidth="9.109375" defaultRowHeight="19.8" x14ac:dyDescent="0.3"/>
  <cols>
    <col min="1" max="1" width="53" style="45" bestFit="1" customWidth="1"/>
    <col min="2" max="4" width="27" style="45" customWidth="1"/>
    <col min="5" max="5" width="14" style="45" customWidth="1"/>
    <col min="6" max="16384" width="9.109375" style="1"/>
  </cols>
  <sheetData>
    <row r="1" spans="1:10" x14ac:dyDescent="0.3">
      <c r="A1" s="48"/>
      <c r="B1" s="48"/>
      <c r="C1" s="48"/>
      <c r="D1" s="48"/>
      <c r="E1" s="48"/>
      <c r="G1" s="2"/>
    </row>
    <row r="2" spans="1:10" ht="26.4" x14ac:dyDescent="0.3">
      <c r="A2" s="297" t="s">
        <v>276</v>
      </c>
      <c r="B2" s="298"/>
      <c r="C2" s="298"/>
      <c r="D2" s="298"/>
      <c r="E2" s="299"/>
      <c r="G2" s="2"/>
    </row>
    <row r="3" spans="1:10" x14ac:dyDescent="0.3">
      <c r="A3" s="50"/>
      <c r="B3" s="50"/>
      <c r="C3" s="50"/>
      <c r="D3" s="48"/>
      <c r="E3" s="48"/>
      <c r="G3" s="2"/>
    </row>
    <row r="4" spans="1:10" s="55" customFormat="1" ht="20.399999999999999" x14ac:dyDescent="0.3">
      <c r="A4" s="52" t="s">
        <v>275</v>
      </c>
      <c r="B4" s="53"/>
      <c r="C4" s="53"/>
      <c r="D4" s="53"/>
      <c r="E4" s="53"/>
    </row>
    <row r="5" spans="1:10" s="55" customFormat="1" ht="20.399999999999999" x14ac:dyDescent="0.3">
      <c r="A5" s="56"/>
      <c r="B5" s="57"/>
      <c r="C5" s="57"/>
      <c r="D5" s="59"/>
      <c r="E5" s="59"/>
    </row>
    <row r="6" spans="1:10" s="55" customFormat="1" ht="42" customHeight="1" x14ac:dyDescent="0.3">
      <c r="A6" s="63" t="s">
        <v>14</v>
      </c>
      <c r="B6" s="65" t="s">
        <v>18</v>
      </c>
      <c r="C6" s="71" t="s">
        <v>264</v>
      </c>
      <c r="D6" s="71" t="s">
        <v>16</v>
      </c>
      <c r="E6" s="59"/>
      <c r="G6" s="55" t="s">
        <v>199</v>
      </c>
      <c r="H6" s="55" t="s">
        <v>481</v>
      </c>
      <c r="I6" s="55" t="s">
        <v>482</v>
      </c>
      <c r="J6" s="55" t="s">
        <v>198</v>
      </c>
    </row>
    <row r="7" spans="1:10" s="55" customFormat="1" ht="40.799999999999997" x14ac:dyDescent="0.3">
      <c r="A7" s="66" t="s">
        <v>274</v>
      </c>
      <c r="B7" s="67">
        <f>G7+H7+I7*8+J7</f>
        <v>291</v>
      </c>
      <c r="C7" s="184">
        <v>1200</v>
      </c>
      <c r="D7" s="89">
        <f>B7*C7*1.1</f>
        <v>384120.00000000006</v>
      </c>
      <c r="E7" s="57"/>
      <c r="G7" s="55">
        <f>4+1</f>
        <v>5</v>
      </c>
      <c r="H7" s="55">
        <f>4+8</f>
        <v>12</v>
      </c>
      <c r="I7" s="55">
        <f>3+3+3+3+4+3*3+3+4</f>
        <v>32</v>
      </c>
      <c r="J7" s="55">
        <f>(4+5)*2</f>
        <v>18</v>
      </c>
    </row>
    <row r="8" spans="1:10" s="55" customFormat="1" ht="20.399999999999999" x14ac:dyDescent="0.3">
      <c r="A8" s="66" t="s">
        <v>273</v>
      </c>
      <c r="B8" s="67">
        <f t="shared" ref="B8:B10" si="0">G8+H8+I8*8+J8</f>
        <v>8</v>
      </c>
      <c r="C8" s="184">
        <v>5000</v>
      </c>
      <c r="D8" s="89">
        <f>B8*C8*1.1</f>
        <v>44000</v>
      </c>
      <c r="E8" s="57"/>
      <c r="G8" s="55">
        <v>0</v>
      </c>
      <c r="H8" s="55">
        <f>8</f>
        <v>8</v>
      </c>
      <c r="I8" s="55">
        <v>0</v>
      </c>
    </row>
    <row r="9" spans="1:10" s="55" customFormat="1" ht="20.399999999999999" x14ac:dyDescent="0.3">
      <c r="A9" s="66" t="s">
        <v>272</v>
      </c>
      <c r="B9" s="67">
        <f t="shared" si="0"/>
        <v>217</v>
      </c>
      <c r="C9" s="184">
        <v>900</v>
      </c>
      <c r="D9" s="89">
        <f>B9*C9*1.1</f>
        <v>214830.00000000003</v>
      </c>
      <c r="E9" s="57"/>
      <c r="G9" s="55">
        <f>5</f>
        <v>5</v>
      </c>
      <c r="H9" s="55">
        <f>4</f>
        <v>4</v>
      </c>
      <c r="I9" s="55">
        <f>13+13</f>
        <v>26</v>
      </c>
    </row>
    <row r="10" spans="1:10" s="55" customFormat="1" ht="20.399999999999999" x14ac:dyDescent="0.3">
      <c r="A10" s="66" t="s">
        <v>271</v>
      </c>
      <c r="B10" s="67">
        <f t="shared" si="0"/>
        <v>86</v>
      </c>
      <c r="C10" s="184">
        <v>280</v>
      </c>
      <c r="D10" s="89">
        <f>B10*C10*1.1+10*300</f>
        <v>29488.000000000004</v>
      </c>
      <c r="E10" s="57"/>
      <c r="G10" s="55">
        <v>0</v>
      </c>
      <c r="H10" s="55">
        <f>2</f>
        <v>2</v>
      </c>
      <c r="I10" s="55">
        <f>10</f>
        <v>10</v>
      </c>
      <c r="J10" s="55">
        <v>4</v>
      </c>
    </row>
    <row r="11" spans="1:10" s="55" customFormat="1" ht="20.399999999999999" x14ac:dyDescent="0.3">
      <c r="A11" s="296" t="s">
        <v>17</v>
      </c>
      <c r="B11" s="296"/>
      <c r="C11" s="296"/>
      <c r="D11" s="90">
        <f>SUM(D7:D10)</f>
        <v>672438.00000000012</v>
      </c>
      <c r="E11" s="60"/>
    </row>
    <row r="12" spans="1:10" s="55" customFormat="1" ht="20.399999999999999" x14ac:dyDescent="0.3">
      <c r="A12" s="300"/>
      <c r="B12" s="300"/>
      <c r="C12" s="300"/>
      <c r="D12" s="59"/>
      <c r="E12" s="59"/>
    </row>
    <row r="13" spans="1:10" s="55" customFormat="1" ht="20.399999999999999" x14ac:dyDescent="0.3">
      <c r="A13" s="52" t="s">
        <v>270</v>
      </c>
      <c r="B13" s="53"/>
      <c r="C13" s="53"/>
      <c r="D13" s="53"/>
      <c r="E13" s="53"/>
    </row>
    <row r="14" spans="1:10" s="55" customFormat="1" ht="20.399999999999999" x14ac:dyDescent="0.3">
      <c r="A14" s="56"/>
      <c r="B14" s="57"/>
      <c r="C14" s="57"/>
      <c r="D14" s="59"/>
      <c r="E14" s="59"/>
    </row>
    <row r="15" spans="1:10" s="55" customFormat="1" ht="42" customHeight="1" x14ac:dyDescent="0.3">
      <c r="A15" s="63" t="s">
        <v>14</v>
      </c>
      <c r="B15" s="301" t="s">
        <v>5</v>
      </c>
      <c r="C15" s="302"/>
      <c r="D15" s="71" t="s">
        <v>16</v>
      </c>
      <c r="E15" s="59"/>
    </row>
    <row r="16" spans="1:10" s="55" customFormat="1" ht="20.399999999999999" x14ac:dyDescent="0.3">
      <c r="A16" s="66" t="s">
        <v>269</v>
      </c>
      <c r="B16" s="62">
        <v>2</v>
      </c>
      <c r="C16" s="62" t="s">
        <v>6</v>
      </c>
      <c r="D16" s="89">
        <f>B16*DADOS_INICIAIS!$E$9*1.1+2500</f>
        <v>31425.116000000005</v>
      </c>
      <c r="E16" s="57"/>
    </row>
    <row r="17" spans="1:5" s="55" customFormat="1" ht="20.399999999999999" x14ac:dyDescent="0.3">
      <c r="A17" s="66" t="s">
        <v>268</v>
      </c>
      <c r="B17" s="62">
        <v>5</v>
      </c>
      <c r="C17" s="62" t="s">
        <v>6</v>
      </c>
      <c r="D17" s="89">
        <f>B17*DADOS_INICIAIS!$E$9*1.1</f>
        <v>72312.790000000023</v>
      </c>
      <c r="E17" s="57"/>
    </row>
    <row r="18" spans="1:5" s="55" customFormat="1" ht="20.399999999999999" x14ac:dyDescent="0.3">
      <c r="A18" s="66" t="s">
        <v>267</v>
      </c>
      <c r="B18" s="62">
        <v>3</v>
      </c>
      <c r="C18" s="62" t="s">
        <v>6</v>
      </c>
      <c r="D18" s="89">
        <f>B18*DADOS_INICIAIS!$E$9*1.1</f>
        <v>43387.674000000006</v>
      </c>
      <c r="E18" s="57"/>
    </row>
    <row r="19" spans="1:5" s="55" customFormat="1" ht="40.799999999999997" x14ac:dyDescent="0.3">
      <c r="A19" s="66" t="s">
        <v>266</v>
      </c>
      <c r="B19" s="62">
        <v>5</v>
      </c>
      <c r="C19" s="62" t="s">
        <v>6</v>
      </c>
      <c r="D19" s="89">
        <f>B19*DADOS_INICIAIS!$E$9*1.1</f>
        <v>72312.790000000023</v>
      </c>
      <c r="E19" s="57"/>
    </row>
    <row r="20" spans="1:5" s="55" customFormat="1" ht="20.399999999999999" x14ac:dyDescent="0.3">
      <c r="A20" s="296" t="s">
        <v>17</v>
      </c>
      <c r="B20" s="296"/>
      <c r="C20" s="296"/>
      <c r="D20" s="90">
        <f>SUM(D16:D19)</f>
        <v>219438.37000000005</v>
      </c>
      <c r="E20" s="60"/>
    </row>
    <row r="21" spans="1:5" s="55" customFormat="1" ht="20.399999999999999" x14ac:dyDescent="0.3">
      <c r="A21" s="300"/>
      <c r="B21" s="300"/>
      <c r="C21" s="300"/>
      <c r="D21" s="59"/>
      <c r="E21" s="59"/>
    </row>
    <row r="22" spans="1:5" s="55" customFormat="1" ht="20.399999999999999" x14ac:dyDescent="0.3">
      <c r="A22" s="52" t="s">
        <v>265</v>
      </c>
      <c r="B22" s="53"/>
      <c r="C22" s="53"/>
      <c r="D22" s="53"/>
      <c r="E22" s="53"/>
    </row>
    <row r="23" spans="1:5" s="55" customFormat="1" ht="20.399999999999999" x14ac:dyDescent="0.3">
      <c r="A23" s="56"/>
      <c r="B23" s="57"/>
      <c r="C23" s="57"/>
      <c r="D23" s="59"/>
      <c r="E23" s="59"/>
    </row>
    <row r="24" spans="1:5" s="55" customFormat="1" ht="42" customHeight="1" x14ac:dyDescent="0.3">
      <c r="A24" s="63" t="s">
        <v>14</v>
      </c>
      <c r="B24" s="65" t="s">
        <v>18</v>
      </c>
      <c r="C24" s="71" t="s">
        <v>264</v>
      </c>
      <c r="D24" s="71" t="s">
        <v>16</v>
      </c>
      <c r="E24" s="59"/>
    </row>
    <row r="25" spans="1:5" s="55" customFormat="1" ht="26.25" customHeight="1" x14ac:dyDescent="0.3">
      <c r="A25" s="70" t="s">
        <v>263</v>
      </c>
      <c r="B25" s="67">
        <v>2</v>
      </c>
      <c r="C25" s="240">
        <f>399080.16</f>
        <v>399080.16</v>
      </c>
      <c r="D25" s="89">
        <f t="shared" ref="D25:D30" si="1">B25*C25*1.1</f>
        <v>877976.35200000007</v>
      </c>
      <c r="E25" s="57"/>
    </row>
    <row r="26" spans="1:5" s="55" customFormat="1" ht="26.25" customHeight="1" x14ac:dyDescent="0.3">
      <c r="A26" s="70" t="s">
        <v>402</v>
      </c>
      <c r="B26" s="67"/>
      <c r="C26" s="247">
        <v>42750</v>
      </c>
      <c r="D26" s="89">
        <f t="shared" ref="D26" si="2">B26*C26*1.1</f>
        <v>0</v>
      </c>
      <c r="E26" s="57" t="s">
        <v>406</v>
      </c>
    </row>
    <row r="27" spans="1:5" s="55" customFormat="1" ht="26.25" customHeight="1" x14ac:dyDescent="0.3">
      <c r="A27" s="70" t="s">
        <v>262</v>
      </c>
      <c r="B27" s="67">
        <v>1</v>
      </c>
      <c r="C27" s="241">
        <v>50000</v>
      </c>
      <c r="D27" s="89">
        <f t="shared" si="1"/>
        <v>55000.000000000007</v>
      </c>
      <c r="E27" s="57"/>
    </row>
    <row r="28" spans="1:5" s="55" customFormat="1" ht="26.25" customHeight="1" x14ac:dyDescent="0.3">
      <c r="A28" s="70" t="s">
        <v>316</v>
      </c>
      <c r="B28" s="67">
        <v>1</v>
      </c>
      <c r="C28" s="184">
        <v>12000</v>
      </c>
      <c r="D28" s="89">
        <f t="shared" si="1"/>
        <v>13200.000000000002</v>
      </c>
      <c r="E28" s="57"/>
    </row>
    <row r="29" spans="1:5" s="55" customFormat="1" ht="26.25" customHeight="1" x14ac:dyDescent="0.3">
      <c r="A29" s="70" t="s">
        <v>261</v>
      </c>
      <c r="B29" s="67">
        <f>DADOS_INICIAIS!E10</f>
        <v>84</v>
      </c>
      <c r="C29" s="184">
        <v>560</v>
      </c>
      <c r="D29" s="89">
        <f t="shared" si="1"/>
        <v>51744.000000000007</v>
      </c>
      <c r="E29" s="57"/>
    </row>
    <row r="30" spans="1:5" s="55" customFormat="1" ht="26.25" customHeight="1" x14ac:dyDescent="0.3">
      <c r="A30" s="70" t="s">
        <v>344</v>
      </c>
      <c r="B30" s="67">
        <v>1</v>
      </c>
      <c r="C30" s="184">
        <v>25000</v>
      </c>
      <c r="D30" s="89">
        <f t="shared" si="1"/>
        <v>27500.000000000004</v>
      </c>
      <c r="E30" s="57"/>
    </row>
    <row r="31" spans="1:5" s="55" customFormat="1" ht="26.25" customHeight="1" x14ac:dyDescent="0.3">
      <c r="A31" s="70" t="s">
        <v>380</v>
      </c>
      <c r="B31" s="67"/>
      <c r="C31" s="242">
        <v>1150</v>
      </c>
      <c r="D31" s="89">
        <f>B31*C31*1.1</f>
        <v>0</v>
      </c>
      <c r="E31" s="57"/>
    </row>
    <row r="32" spans="1:5" s="55" customFormat="1" ht="20.399999999999999" x14ac:dyDescent="0.3">
      <c r="A32" s="296" t="s">
        <v>17</v>
      </c>
      <c r="B32" s="296"/>
      <c r="C32" s="296"/>
      <c r="D32" s="90">
        <f>SUM(D25:D31)</f>
        <v>1025420.3520000001</v>
      </c>
      <c r="E32" s="60"/>
    </row>
    <row r="33" spans="1:9" x14ac:dyDescent="0.3">
      <c r="I33" s="47"/>
    </row>
    <row r="34" spans="1:9" s="55" customFormat="1" ht="20.399999999999999" x14ac:dyDescent="0.3">
      <c r="A34" s="52" t="s">
        <v>260</v>
      </c>
      <c r="B34" s="53"/>
      <c r="C34" s="53"/>
      <c r="D34" s="53"/>
      <c r="E34" s="53"/>
    </row>
    <row r="35" spans="1:9" s="55" customFormat="1" ht="20.399999999999999" x14ac:dyDescent="0.3">
      <c r="A35" s="56"/>
      <c r="B35" s="57"/>
      <c r="C35" s="57"/>
      <c r="D35" s="59"/>
      <c r="E35" s="59"/>
    </row>
    <row r="36" spans="1:9" s="55" customFormat="1" ht="40.5" customHeight="1" x14ac:dyDescent="0.3">
      <c r="A36" s="63" t="s">
        <v>14</v>
      </c>
      <c r="B36" s="301" t="s">
        <v>5</v>
      </c>
      <c r="C36" s="302"/>
      <c r="D36" s="71" t="s">
        <v>16</v>
      </c>
      <c r="E36" s="59"/>
    </row>
    <row r="37" spans="1:9" s="55" customFormat="1" ht="26.25" customHeight="1" x14ac:dyDescent="0.3">
      <c r="A37" s="70" t="s">
        <v>259</v>
      </c>
      <c r="B37" s="62">
        <v>20</v>
      </c>
      <c r="C37" s="62" t="s">
        <v>6</v>
      </c>
      <c r="D37" s="89">
        <f>B37*DADOS_INICIAIS!E9*1.1</f>
        <v>289251.16000000009</v>
      </c>
      <c r="E37" s="102"/>
    </row>
    <row r="38" spans="1:9" s="55" customFormat="1" ht="20.399999999999999" x14ac:dyDescent="0.3">
      <c r="A38" s="296" t="s">
        <v>17</v>
      </c>
      <c r="B38" s="296"/>
      <c r="C38" s="296"/>
      <c r="D38" s="90">
        <f>SUM(D37:D37)</f>
        <v>289251.16000000009</v>
      </c>
      <c r="E38" s="103"/>
    </row>
    <row r="39" spans="1:9" x14ac:dyDescent="0.3">
      <c r="D39" s="107"/>
      <c r="E39" s="107"/>
      <c r="I39" s="47"/>
    </row>
    <row r="40" spans="1:9" ht="23.25" customHeight="1" x14ac:dyDescent="0.3">
      <c r="A40" s="293" t="s">
        <v>258</v>
      </c>
      <c r="B40" s="294"/>
      <c r="C40" s="295"/>
      <c r="D40" s="108">
        <f>D11+D20+D32+D38</f>
        <v>2206547.8820000002</v>
      </c>
      <c r="E40" s="108">
        <f>D40/DADOS_INICIAIS!E9</f>
        <v>167.82665073495298</v>
      </c>
    </row>
  </sheetData>
  <mergeCells count="10">
    <mergeCell ref="A32:C32"/>
    <mergeCell ref="A40:C40"/>
    <mergeCell ref="B36:C36"/>
    <mergeCell ref="A38:C38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49"/>
  <sheetViews>
    <sheetView showGridLines="0" topLeftCell="A7" zoomScale="80" zoomScaleNormal="80" zoomScaleSheetLayoutView="95" workbookViewId="0">
      <selection activeCell="G19" sqref="G19:G24"/>
    </sheetView>
  </sheetViews>
  <sheetFormatPr defaultColWidth="9.109375" defaultRowHeight="14.4" x14ac:dyDescent="0.3"/>
  <cols>
    <col min="1" max="1" width="50.109375" style="55" customWidth="1"/>
    <col min="2" max="2" width="21.6640625" style="55" customWidth="1"/>
    <col min="3" max="3" width="26.5546875" style="55" customWidth="1"/>
    <col min="4" max="4" width="16.5546875" style="81" customWidth="1"/>
    <col min="5" max="5" width="19.5546875" style="82" customWidth="1"/>
    <col min="6" max="6" width="20.88671875" style="55" customWidth="1"/>
    <col min="7" max="7" width="23.5546875" style="55" customWidth="1"/>
    <col min="8" max="8" width="58.33203125" style="55" customWidth="1"/>
    <col min="9" max="9" width="11.33203125" style="55" customWidth="1"/>
    <col min="10" max="10" width="14.33203125" style="55" bestFit="1" customWidth="1"/>
    <col min="11" max="11" width="11" style="55" bestFit="1" customWidth="1"/>
    <col min="12" max="12" width="11.33203125" style="55" bestFit="1" customWidth="1"/>
    <col min="13" max="13" width="9.109375" style="55"/>
    <col min="14" max="15" width="11" style="55" bestFit="1" customWidth="1"/>
    <col min="16" max="16384" width="9.109375" style="55"/>
  </cols>
  <sheetData>
    <row r="1" spans="1:10" x14ac:dyDescent="0.3">
      <c r="D1" s="79"/>
      <c r="E1" s="55"/>
      <c r="H1" s="80"/>
      <c r="I1" s="80"/>
      <c r="J1" s="79"/>
    </row>
    <row r="3" spans="1:10" ht="26.4" x14ac:dyDescent="0.3">
      <c r="A3" s="297" t="s">
        <v>228</v>
      </c>
      <c r="B3" s="305"/>
      <c r="C3" s="305"/>
      <c r="D3" s="298"/>
      <c r="E3" s="298"/>
      <c r="F3" s="298"/>
      <c r="G3" s="298"/>
      <c r="H3" s="299"/>
      <c r="J3" s="79"/>
    </row>
    <row r="4" spans="1:10" ht="19.8" x14ac:dyDescent="0.3">
      <c r="A4" s="185" t="s">
        <v>185</v>
      </c>
      <c r="B4" s="191">
        <v>45471</v>
      </c>
      <c r="C4" s="189"/>
      <c r="D4" s="189"/>
      <c r="E4" s="189"/>
      <c r="F4" s="189"/>
      <c r="G4" s="189"/>
      <c r="H4" s="190"/>
      <c r="J4" s="79"/>
    </row>
    <row r="5" spans="1:10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0.399999999999999" x14ac:dyDescent="0.3">
      <c r="A6" s="83"/>
      <c r="B6" s="83"/>
      <c r="C6" s="83"/>
      <c r="D6" s="83"/>
      <c r="E6" s="83"/>
      <c r="F6" s="84"/>
      <c r="G6" s="85"/>
      <c r="H6" s="85"/>
      <c r="J6" s="79"/>
    </row>
    <row r="7" spans="1:10" ht="20.399999999999999" x14ac:dyDescent="0.3">
      <c r="A7" s="52" t="s">
        <v>228</v>
      </c>
      <c r="B7" s="52"/>
      <c r="C7" s="52"/>
      <c r="D7" s="53"/>
      <c r="E7" s="53"/>
      <c r="F7" s="54"/>
      <c r="G7" s="53"/>
      <c r="H7" s="53"/>
    </row>
    <row r="8" spans="1:10" ht="20.399999999999999" x14ac:dyDescent="0.3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0" ht="20.399999999999999" x14ac:dyDescent="0.3">
      <c r="A10" s="66" t="s">
        <v>227</v>
      </c>
      <c r="B10" s="62">
        <v>25</v>
      </c>
      <c r="C10" s="62" t="s">
        <v>170</v>
      </c>
      <c r="D10" s="67">
        <f>D14+D15</f>
        <v>6059.7330000000002</v>
      </c>
      <c r="E10" s="67" t="s">
        <v>2</v>
      </c>
      <c r="F10" s="88">
        <f>5</f>
        <v>5</v>
      </c>
      <c r="G10" s="89">
        <f t="shared" ref="G10:G24" si="0">F10*D10*1.1</f>
        <v>33328.531500000005</v>
      </c>
      <c r="H10" s="67"/>
    </row>
    <row r="11" spans="1:10" ht="20.399999999999999" x14ac:dyDescent="0.3">
      <c r="A11" s="78" t="s">
        <v>226</v>
      </c>
      <c r="B11" s="62">
        <v>45</v>
      </c>
      <c r="C11" s="62" t="s">
        <v>170</v>
      </c>
      <c r="D11" s="67">
        <f>((1.99*2.1)+(1.99*2+2.1*2)*1.8)*2</f>
        <v>37.805999999999997</v>
      </c>
      <c r="E11" s="67" t="s">
        <v>2</v>
      </c>
      <c r="F11" s="88">
        <f>41-30</f>
        <v>11</v>
      </c>
      <c r="G11" s="89">
        <f t="shared" si="0"/>
        <v>457.45260000000002</v>
      </c>
      <c r="H11" s="67"/>
    </row>
    <row r="12" spans="1:10" ht="20.399999999999999" x14ac:dyDescent="0.3">
      <c r="A12" s="78" t="s">
        <v>225</v>
      </c>
      <c r="B12" s="62">
        <v>30</v>
      </c>
      <c r="C12" s="62" t="s">
        <v>170</v>
      </c>
      <c r="D12" s="67">
        <f>INFRAESTRUTURA!D28</f>
        <v>1131.0624</v>
      </c>
      <c r="E12" s="67" t="s">
        <v>2</v>
      </c>
      <c r="F12" s="88">
        <f>15</f>
        <v>15</v>
      </c>
      <c r="G12" s="89">
        <f t="shared" si="0"/>
        <v>18662.529600000002</v>
      </c>
      <c r="H12" s="67"/>
    </row>
    <row r="13" spans="1:10" ht="20.399999999999999" x14ac:dyDescent="0.3">
      <c r="A13" s="66" t="s">
        <v>224</v>
      </c>
      <c r="B13" s="62">
        <v>1</v>
      </c>
      <c r="C13" s="62" t="s">
        <v>6</v>
      </c>
      <c r="D13" s="67">
        <v>1</v>
      </c>
      <c r="E13" s="67" t="s">
        <v>27</v>
      </c>
      <c r="F13" s="88">
        <f>B13*DADOS_INICIAIS!$E$9</f>
        <v>13147.78</v>
      </c>
      <c r="G13" s="89">
        <f t="shared" si="0"/>
        <v>14462.558000000003</v>
      </c>
      <c r="H13" s="67" t="e">
        <f>G13/I13</f>
        <v>#DIV/0!</v>
      </c>
    </row>
    <row r="14" spans="1:10" ht="20.399999999999999" x14ac:dyDescent="0.3">
      <c r="A14" s="66" t="s">
        <v>223</v>
      </c>
      <c r="B14" s="62">
        <v>0.3</v>
      </c>
      <c r="C14" s="62" t="s">
        <v>37</v>
      </c>
      <c r="D14" s="67">
        <f>B14*DADOS_INICIAIS!E9</f>
        <v>3944.3339999999998</v>
      </c>
      <c r="E14" s="67" t="s">
        <v>2</v>
      </c>
      <c r="F14" s="88">
        <f>40</f>
        <v>40</v>
      </c>
      <c r="G14" s="89">
        <f t="shared" si="0"/>
        <v>173550.696</v>
      </c>
      <c r="H14" s="67"/>
      <c r="J14" s="194"/>
    </row>
    <row r="15" spans="1:10" ht="20.399999999999999" x14ac:dyDescent="0.3">
      <c r="A15" s="66" t="s">
        <v>222</v>
      </c>
      <c r="B15" s="62">
        <f>D15/DADOS_INICIAIS!E9</f>
        <v>0.16089400644063109</v>
      </c>
      <c r="C15" s="62" t="s">
        <v>37</v>
      </c>
      <c r="D15" s="67">
        <f>(96.22+112.8+19.14+29.23+'PISO E TETO'!M34-'PISO E TETO'!D81-'PISO E TETO'!D123-'PISO E TETO'!D124-'PISO E TETO'!D149-'PISO E TETO'!D191-'PISO E TETO'!D192-'PISO E TETO'!D197-'PISO E TETO'!D208-'PISO E TETO'!D231-'PISO E TETO'!D241)*1.3</f>
        <v>2115.3990000000008</v>
      </c>
      <c r="E15" s="67" t="s">
        <v>2</v>
      </c>
      <c r="F15" s="88">
        <f>50</f>
        <v>50</v>
      </c>
      <c r="G15" s="89">
        <f t="shared" si="0"/>
        <v>116346.94500000005</v>
      </c>
      <c r="H15" s="67"/>
      <c r="J15" s="194"/>
    </row>
    <row r="16" spans="1:10" ht="40.799999999999997" x14ac:dyDescent="0.3">
      <c r="A16" s="66" t="s">
        <v>499</v>
      </c>
      <c r="B16" s="62"/>
      <c r="C16" s="62" t="s">
        <v>37</v>
      </c>
      <c r="D16" s="67">
        <f>(12.057+24.39)*1.2</f>
        <v>43.736400000000003</v>
      </c>
      <c r="E16" s="67" t="s">
        <v>2</v>
      </c>
      <c r="F16" s="88">
        <f>50</f>
        <v>50</v>
      </c>
      <c r="G16" s="89">
        <f t="shared" ref="G16" si="1">F16*D16*1.1</f>
        <v>2405.5020000000004</v>
      </c>
      <c r="H16" s="67"/>
      <c r="J16" s="194"/>
    </row>
    <row r="17" spans="1:12" ht="20.399999999999999" x14ac:dyDescent="0.3">
      <c r="A17" s="66" t="s">
        <v>221</v>
      </c>
      <c r="B17" s="62">
        <v>1.2</v>
      </c>
      <c r="C17" s="62" t="s">
        <v>6</v>
      </c>
      <c r="D17" s="67">
        <v>1</v>
      </c>
      <c r="E17" s="67" t="s">
        <v>27</v>
      </c>
      <c r="F17" s="88">
        <f>B17*DADOS_INICIAIS!$E$9</f>
        <v>15777.335999999999</v>
      </c>
      <c r="G17" s="89">
        <f t="shared" si="0"/>
        <v>17355.069599999999</v>
      </c>
      <c r="H17" s="67" t="e">
        <f>G17/I17</f>
        <v>#DIV/0!</v>
      </c>
    </row>
    <row r="18" spans="1:12" ht="20.399999999999999" x14ac:dyDescent="0.3">
      <c r="A18" s="66" t="s">
        <v>220</v>
      </c>
      <c r="B18" s="62">
        <v>28</v>
      </c>
      <c r="C18" s="62" t="s">
        <v>170</v>
      </c>
      <c r="D18" s="67">
        <f>D15</f>
        <v>2115.3990000000008</v>
      </c>
      <c r="E18" s="67" t="s">
        <v>2</v>
      </c>
      <c r="F18" s="88">
        <f>35</f>
        <v>35</v>
      </c>
      <c r="G18" s="89">
        <f t="shared" si="0"/>
        <v>81442.861500000028</v>
      </c>
      <c r="H18" s="67"/>
      <c r="J18" s="194"/>
    </row>
    <row r="19" spans="1:12" ht="20.399999999999999" x14ac:dyDescent="0.3">
      <c r="A19" s="66" t="s">
        <v>830</v>
      </c>
      <c r="B19" s="62"/>
      <c r="C19" s="62"/>
      <c r="D19" s="67">
        <f>D10</f>
        <v>6059.7330000000002</v>
      </c>
      <c r="E19" s="67"/>
      <c r="F19" s="88">
        <v>20</v>
      </c>
      <c r="G19" s="89">
        <f t="shared" si="0"/>
        <v>133314.12600000002</v>
      </c>
      <c r="H19" s="67"/>
      <c r="J19" s="194"/>
    </row>
    <row r="20" spans="1:12" ht="20.399999999999999" x14ac:dyDescent="0.3">
      <c r="A20" s="66" t="s">
        <v>831</v>
      </c>
      <c r="B20" s="62"/>
      <c r="C20" s="62"/>
      <c r="D20" s="67">
        <f>D18</f>
        <v>2115.3990000000008</v>
      </c>
      <c r="E20" s="67"/>
      <c r="F20" s="88">
        <v>22</v>
      </c>
      <c r="G20" s="89">
        <f t="shared" si="0"/>
        <v>51192.65580000003</v>
      </c>
      <c r="H20" s="67"/>
      <c r="J20" s="194"/>
    </row>
    <row r="21" spans="1:12" ht="20.399999999999999" x14ac:dyDescent="0.3">
      <c r="A21" s="66" t="s">
        <v>832</v>
      </c>
      <c r="B21" s="62"/>
      <c r="C21" s="62"/>
      <c r="D21" s="67">
        <f>D11</f>
        <v>37.805999999999997</v>
      </c>
      <c r="E21" s="67"/>
      <c r="F21" s="88">
        <v>30</v>
      </c>
      <c r="G21" s="89">
        <f t="shared" si="0"/>
        <v>1247.598</v>
      </c>
      <c r="H21" s="67"/>
      <c r="J21" s="194"/>
    </row>
    <row r="22" spans="1:12" ht="20.399999999999999" x14ac:dyDescent="0.3">
      <c r="A22" s="66" t="s">
        <v>833</v>
      </c>
      <c r="B22" s="62"/>
      <c r="C22" s="62"/>
      <c r="D22" s="67">
        <f>D12</f>
        <v>1131.0624</v>
      </c>
      <c r="E22" s="67"/>
      <c r="F22" s="88">
        <v>38</v>
      </c>
      <c r="G22" s="89">
        <f t="shared" si="0"/>
        <v>47278.408320000002</v>
      </c>
      <c r="H22" s="67"/>
      <c r="J22" s="194"/>
    </row>
    <row r="23" spans="1:12" ht="20.399999999999999" x14ac:dyDescent="0.3">
      <c r="A23" s="66" t="s">
        <v>834</v>
      </c>
      <c r="B23" s="62"/>
      <c r="C23" s="62"/>
      <c r="D23" s="67">
        <f>D14</f>
        <v>3944.3339999999998</v>
      </c>
      <c r="E23" s="67"/>
      <c r="F23" s="88">
        <v>30</v>
      </c>
      <c r="G23" s="89">
        <f t="shared" si="0"/>
        <v>130163.022</v>
      </c>
      <c r="H23" s="67"/>
      <c r="J23" s="194"/>
    </row>
    <row r="24" spans="1:12" ht="20.399999999999999" x14ac:dyDescent="0.3">
      <c r="A24" s="66" t="s">
        <v>835</v>
      </c>
      <c r="B24" s="62"/>
      <c r="C24" s="62"/>
      <c r="D24" s="67">
        <f>D15+D16</f>
        <v>2159.135400000001</v>
      </c>
      <c r="E24" s="67"/>
      <c r="F24" s="88">
        <v>48</v>
      </c>
      <c r="G24" s="89">
        <f t="shared" si="0"/>
        <v>114002.34912000006</v>
      </c>
      <c r="H24" s="67"/>
      <c r="J24" s="194"/>
    </row>
    <row r="25" spans="1:12" ht="20.399999999999999" x14ac:dyDescent="0.3">
      <c r="A25" s="296" t="s">
        <v>17</v>
      </c>
      <c r="B25" s="296"/>
      <c r="C25" s="296"/>
      <c r="D25" s="296"/>
      <c r="E25" s="296"/>
      <c r="F25" s="296"/>
      <c r="G25" s="90">
        <f>SUM(G10:G24)</f>
        <v>935210.30504000024</v>
      </c>
      <c r="H25" s="90"/>
      <c r="K25" s="55">
        <f>4160+1440+1120+2880+4800+91680+4000</f>
        <v>110080</v>
      </c>
      <c r="L25" s="55">
        <f>K25/21</f>
        <v>5241.9047619047615</v>
      </c>
    </row>
    <row r="27" spans="1:12" ht="20.399999999999999" x14ac:dyDescent="0.3">
      <c r="A27" s="306" t="s">
        <v>219</v>
      </c>
      <c r="B27" s="307"/>
      <c r="C27" s="307"/>
      <c r="D27" s="307"/>
      <c r="E27" s="307"/>
      <c r="F27" s="308"/>
      <c r="G27" s="91">
        <f>G25</f>
        <v>935210.30504000024</v>
      </c>
      <c r="H27" s="91">
        <f>G27/DADOS_INICIAIS!E9</f>
        <v>71.130662746106196</v>
      </c>
    </row>
    <row r="30" spans="1:12" x14ac:dyDescent="0.3">
      <c r="H30" s="194">
        <f>H27/1.1</f>
        <v>64.664238860096532</v>
      </c>
    </row>
    <row r="31" spans="1:12" x14ac:dyDescent="0.3">
      <c r="C31" s="55">
        <f>3.36*(141*2+10)</f>
        <v>981.12</v>
      </c>
    </row>
    <row r="32" spans="1:12" x14ac:dyDescent="0.3">
      <c r="C32" s="55">
        <f>1.5*2.1*(141*2+10)</f>
        <v>919.80000000000007</v>
      </c>
    </row>
    <row r="33" spans="1:10" x14ac:dyDescent="0.3">
      <c r="C33" s="55">
        <f>C31+C32</f>
        <v>1900.92</v>
      </c>
      <c r="D33" s="81" t="s">
        <v>407</v>
      </c>
    </row>
    <row r="34" spans="1:10" x14ac:dyDescent="0.3">
      <c r="C34" s="55">
        <f>4*1.5*56</f>
        <v>336</v>
      </c>
      <c r="D34" s="81" t="s">
        <v>408</v>
      </c>
    </row>
    <row r="37" spans="1:10" ht="20.399999999999999" x14ac:dyDescent="0.3">
      <c r="A37" s="52" t="s">
        <v>228</v>
      </c>
      <c r="B37" s="52"/>
      <c r="C37" s="52"/>
      <c r="D37" s="53"/>
      <c r="E37" s="53"/>
      <c r="F37" s="54"/>
      <c r="G37" s="53"/>
      <c r="H37" s="53"/>
    </row>
    <row r="38" spans="1:10" ht="20.399999999999999" x14ac:dyDescent="0.3">
      <c r="A38" s="56"/>
      <c r="B38" s="56"/>
      <c r="C38" s="56"/>
      <c r="D38" s="57"/>
      <c r="E38" s="57"/>
      <c r="F38" s="58"/>
      <c r="G38" s="59"/>
      <c r="H38" s="59"/>
    </row>
    <row r="39" spans="1:10" ht="42" customHeight="1" x14ac:dyDescent="0.3">
      <c r="A39" s="63" t="s">
        <v>14</v>
      </c>
      <c r="B39" s="301" t="s">
        <v>5</v>
      </c>
      <c r="C39" s="302"/>
      <c r="D39" s="301" t="s">
        <v>18</v>
      </c>
      <c r="E39" s="302"/>
      <c r="F39" s="65" t="s">
        <v>118</v>
      </c>
      <c r="G39" s="71" t="s">
        <v>16</v>
      </c>
      <c r="H39" s="90" t="s">
        <v>298</v>
      </c>
    </row>
    <row r="40" spans="1:10" ht="20.399999999999999" x14ac:dyDescent="0.3">
      <c r="A40" s="66" t="s">
        <v>227</v>
      </c>
      <c r="B40" s="62">
        <v>25</v>
      </c>
      <c r="C40" s="62" t="s">
        <v>170</v>
      </c>
      <c r="D40" s="67">
        <v>6235.3760000000002</v>
      </c>
      <c r="E40" s="67" t="s">
        <v>2</v>
      </c>
      <c r="F40" s="88">
        <f>5+20</f>
        <v>25</v>
      </c>
      <c r="G40" s="89">
        <f t="shared" ref="G40:G48" si="2">F40*D40*1.1</f>
        <v>171472.84</v>
      </c>
      <c r="H40" s="67"/>
    </row>
    <row r="41" spans="1:10" ht="20.399999999999999" x14ac:dyDescent="0.3">
      <c r="A41" s="78" t="s">
        <v>226</v>
      </c>
      <c r="B41" s="62">
        <v>45</v>
      </c>
      <c r="C41" s="62" t="s">
        <v>170</v>
      </c>
      <c r="D41" s="67">
        <v>37.805999999999997</v>
      </c>
      <c r="E41" s="67" t="s">
        <v>2</v>
      </c>
      <c r="F41" s="88">
        <f>41</f>
        <v>41</v>
      </c>
      <c r="G41" s="89">
        <f t="shared" si="2"/>
        <v>1705.0506</v>
      </c>
      <c r="H41" s="67"/>
    </row>
    <row r="42" spans="1:10" ht="20.399999999999999" x14ac:dyDescent="0.3">
      <c r="A42" s="78" t="s">
        <v>225</v>
      </c>
      <c r="B42" s="62">
        <v>30</v>
      </c>
      <c r="C42" s="62" t="s">
        <v>170</v>
      </c>
      <c r="D42" s="67">
        <v>1131.0624</v>
      </c>
      <c r="E42" s="67" t="s">
        <v>2</v>
      </c>
      <c r="F42" s="88">
        <f>15+38</f>
        <v>53</v>
      </c>
      <c r="G42" s="89">
        <f t="shared" si="2"/>
        <v>65940.937920000011</v>
      </c>
      <c r="H42" s="67"/>
    </row>
    <row r="43" spans="1:10" ht="20.399999999999999" x14ac:dyDescent="0.3">
      <c r="A43" s="66" t="s">
        <v>224</v>
      </c>
      <c r="B43" s="62">
        <v>1</v>
      </c>
      <c r="C43" s="62" t="s">
        <v>6</v>
      </c>
      <c r="D43" s="67">
        <v>1</v>
      </c>
      <c r="E43" s="67" t="s">
        <v>27</v>
      </c>
      <c r="F43" s="88">
        <f>B43*DADOS_INICIAIS!$E$9</f>
        <v>13147.78</v>
      </c>
      <c r="G43" s="89">
        <f t="shared" si="2"/>
        <v>14462.558000000003</v>
      </c>
      <c r="H43" s="67" t="e">
        <f>G43/I43</f>
        <v>#DIV/0!</v>
      </c>
    </row>
    <row r="44" spans="1:10" ht="20.399999999999999" x14ac:dyDescent="0.3">
      <c r="A44" s="66" t="s">
        <v>223</v>
      </c>
      <c r="B44" s="62">
        <v>0.3</v>
      </c>
      <c r="C44" s="62" t="s">
        <v>37</v>
      </c>
      <c r="D44" s="67">
        <v>3944.3339999999998</v>
      </c>
      <c r="E44" s="67" t="s">
        <v>2</v>
      </c>
      <c r="F44" s="88">
        <f>40+30</f>
        <v>70</v>
      </c>
      <c r="G44" s="89">
        <f t="shared" si="2"/>
        <v>303713.71800000005</v>
      </c>
      <c r="H44" s="67"/>
      <c r="J44" s="194"/>
    </row>
    <row r="45" spans="1:10" ht="20.399999999999999" x14ac:dyDescent="0.3">
      <c r="A45" s="66" t="s">
        <v>222</v>
      </c>
      <c r="B45" s="62" t="e">
        <f>D45/DADOS_INICIAIS!E33</f>
        <v>#DIV/0!</v>
      </c>
      <c r="C45" s="62" t="s">
        <v>37</v>
      </c>
      <c r="D45" s="67">
        <v>2291.0420000000004</v>
      </c>
      <c r="E45" s="67" t="s">
        <v>2</v>
      </c>
      <c r="F45" s="88">
        <f>50+48</f>
        <v>98</v>
      </c>
      <c r="G45" s="89">
        <f t="shared" si="2"/>
        <v>246974.32760000005</v>
      </c>
      <c r="H45" s="67"/>
      <c r="J45" s="194"/>
    </row>
    <row r="46" spans="1:10" ht="40.799999999999997" x14ac:dyDescent="0.3">
      <c r="A46" s="66" t="s">
        <v>499</v>
      </c>
      <c r="B46" s="62"/>
      <c r="C46" s="62" t="s">
        <v>37</v>
      </c>
      <c r="D46" s="67"/>
      <c r="E46" s="67" t="s">
        <v>2</v>
      </c>
      <c r="F46" s="88">
        <f>50+48</f>
        <v>98</v>
      </c>
      <c r="G46" s="89">
        <f t="shared" si="2"/>
        <v>0</v>
      </c>
      <c r="H46" s="67"/>
      <c r="J46" s="194"/>
    </row>
    <row r="47" spans="1:10" ht="20.399999999999999" x14ac:dyDescent="0.3">
      <c r="A47" s="66" t="s">
        <v>221</v>
      </c>
      <c r="B47" s="62">
        <v>1.2</v>
      </c>
      <c r="C47" s="62" t="s">
        <v>6</v>
      </c>
      <c r="D47" s="67">
        <v>1</v>
      </c>
      <c r="E47" s="67" t="s">
        <v>27</v>
      </c>
      <c r="F47" s="88">
        <f>B47*DADOS_INICIAIS!$E$9</f>
        <v>15777.335999999999</v>
      </c>
      <c r="G47" s="89">
        <f t="shared" si="2"/>
        <v>17355.069599999999</v>
      </c>
      <c r="H47" s="67" t="e">
        <f>G47/I47</f>
        <v>#DIV/0!</v>
      </c>
    </row>
    <row r="48" spans="1:10" ht="20.399999999999999" x14ac:dyDescent="0.3">
      <c r="A48" s="66" t="s">
        <v>220</v>
      </c>
      <c r="B48" s="62">
        <v>28</v>
      </c>
      <c r="C48" s="62" t="s">
        <v>170</v>
      </c>
      <c r="D48" s="67">
        <v>2291.0420000000004</v>
      </c>
      <c r="E48" s="67" t="s">
        <v>2</v>
      </c>
      <c r="F48" s="88">
        <f>35+22</f>
        <v>57</v>
      </c>
      <c r="G48" s="89">
        <f t="shared" si="2"/>
        <v>143648.33340000003</v>
      </c>
      <c r="H48" s="67"/>
      <c r="J48" s="194"/>
    </row>
    <row r="49" spans="1:12" ht="20.399999999999999" x14ac:dyDescent="0.3">
      <c r="A49" s="296" t="s">
        <v>17</v>
      </c>
      <c r="B49" s="296"/>
      <c r="C49" s="296"/>
      <c r="D49" s="296"/>
      <c r="E49" s="296"/>
      <c r="F49" s="296"/>
      <c r="G49" s="90">
        <f>SUM(G40:G48)</f>
        <v>965272.83512000018</v>
      </c>
      <c r="H49" s="90"/>
      <c r="K49" s="55">
        <f>4160+1440+1120+2880+4800+91680+4000</f>
        <v>110080</v>
      </c>
      <c r="L49" s="55">
        <f>K49/21</f>
        <v>5241.9047619047615</v>
      </c>
    </row>
  </sheetData>
  <mergeCells count="8">
    <mergeCell ref="B39:C39"/>
    <mergeCell ref="D39:E39"/>
    <mergeCell ref="A49:F49"/>
    <mergeCell ref="A27:F27"/>
    <mergeCell ref="A3:H3"/>
    <mergeCell ref="B9:C9"/>
    <mergeCell ref="D9:E9"/>
    <mergeCell ref="A25:F2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F055-F5DB-4C7C-8016-472086DE0C1F}">
  <sheetPr>
    <tabColor rgb="FFFF0000"/>
  </sheetPr>
  <dimension ref="A1:Y1031"/>
  <sheetViews>
    <sheetView zoomScale="94" zoomScaleNormal="94" workbookViewId="0">
      <selection activeCell="E14" sqref="E14"/>
    </sheetView>
  </sheetViews>
  <sheetFormatPr defaultColWidth="14.44140625" defaultRowHeight="15" customHeight="1" x14ac:dyDescent="0.3"/>
  <cols>
    <col min="1" max="1" width="12.33203125" style="207" customWidth="1"/>
    <col min="2" max="2" width="20" style="207" customWidth="1"/>
    <col min="3" max="3" width="31" style="207" customWidth="1"/>
    <col min="4" max="4" width="13.44140625" style="207" customWidth="1"/>
    <col min="5" max="5" width="31.109375" style="207" customWidth="1"/>
    <col min="6" max="7" width="21.109375" style="207" customWidth="1"/>
    <col min="8" max="9" width="8.6640625" style="207" customWidth="1"/>
    <col min="10" max="10" width="8.88671875" style="207" customWidth="1"/>
    <col min="11" max="11" width="32.5546875" style="207" customWidth="1"/>
    <col min="12" max="13" width="20.6640625" style="207" customWidth="1"/>
    <col min="14" max="14" width="16.44140625" style="207" customWidth="1"/>
    <col min="15" max="15" width="8.88671875" style="207" customWidth="1"/>
    <col min="16" max="25" width="8.6640625" style="207" customWidth="1"/>
    <col min="26" max="16384" width="14.44140625" style="207"/>
  </cols>
  <sheetData>
    <row r="1" spans="1:25" ht="15" customHeight="1" x14ac:dyDescent="0.3">
      <c r="A1" s="238" t="s">
        <v>0</v>
      </c>
      <c r="B1" s="237" t="str">
        <f>DADOS_INICIAIS!B1</f>
        <v>Estreito</v>
      </c>
      <c r="C1" s="236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08"/>
      <c r="O1" s="234"/>
    </row>
    <row r="2" spans="1:25" ht="15" customHeight="1" x14ac:dyDescent="0.3">
      <c r="A2" s="233" t="s">
        <v>117</v>
      </c>
      <c r="B2" s="237" t="str">
        <f>DADOS_INICIAIS!B2</f>
        <v>D'Lohn Empreendimentos</v>
      </c>
      <c r="C2" s="228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08"/>
      <c r="O2" s="209"/>
    </row>
    <row r="3" spans="1:25" ht="15" customHeight="1" x14ac:dyDescent="0.3">
      <c r="A3" s="233" t="s">
        <v>1</v>
      </c>
      <c r="B3" s="232" t="s">
        <v>184</v>
      </c>
      <c r="C3" s="228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08"/>
      <c r="O3" s="209"/>
    </row>
    <row r="4" spans="1:25" ht="15" customHeight="1" x14ac:dyDescent="0.3">
      <c r="A4" s="230" t="s">
        <v>185</v>
      </c>
      <c r="B4" s="229">
        <v>45726</v>
      </c>
      <c r="C4" s="228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08"/>
      <c r="O4" s="209"/>
    </row>
    <row r="5" spans="1:25" ht="26.25" customHeight="1" x14ac:dyDescent="0.3">
      <c r="A5" s="317" t="s">
        <v>375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9"/>
    </row>
    <row r="6" spans="1:25" ht="14.25" customHeight="1" x14ac:dyDescent="0.3">
      <c r="A6" s="215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9"/>
    </row>
    <row r="7" spans="1:25" ht="26.25" customHeight="1" x14ac:dyDescent="0.3">
      <c r="A7" s="320" t="s">
        <v>400</v>
      </c>
      <c r="B7" s="318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9"/>
    </row>
    <row r="8" spans="1:25" ht="14.25" customHeight="1" thickBot="1" x14ac:dyDescent="0.35">
      <c r="A8" s="215"/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9"/>
      <c r="P8" s="208"/>
      <c r="Q8" s="208"/>
      <c r="R8" s="208"/>
      <c r="S8" s="208"/>
      <c r="T8" s="208"/>
      <c r="U8" s="208"/>
      <c r="V8" s="208"/>
      <c r="W8" s="208"/>
      <c r="X8" s="208"/>
      <c r="Y8" s="208"/>
    </row>
    <row r="9" spans="1:25" ht="14.25" customHeight="1" thickBot="1" x14ac:dyDescent="0.35">
      <c r="A9" s="215"/>
      <c r="B9" s="321" t="s">
        <v>374</v>
      </c>
      <c r="C9" s="322"/>
      <c r="D9" s="322"/>
      <c r="E9" s="322"/>
      <c r="F9" s="322"/>
      <c r="G9" s="322"/>
      <c r="H9" s="322"/>
      <c r="I9" s="323"/>
      <c r="J9" s="208"/>
      <c r="K9" s="208"/>
      <c r="L9" s="321" t="s">
        <v>373</v>
      </c>
      <c r="M9" s="323"/>
      <c r="N9" s="208"/>
      <c r="O9" s="209"/>
    </row>
    <row r="10" spans="1:25" ht="14.25" customHeight="1" x14ac:dyDescent="0.55000000000000004">
      <c r="A10" s="215"/>
      <c r="B10" s="220" t="s">
        <v>372</v>
      </c>
      <c r="C10" s="225" t="s">
        <v>371</v>
      </c>
      <c r="D10" s="225" t="s">
        <v>370</v>
      </c>
      <c r="E10" s="225" t="s">
        <v>364</v>
      </c>
      <c r="F10" s="226" t="s">
        <v>369</v>
      </c>
      <c r="G10" s="226" t="s">
        <v>398</v>
      </c>
      <c r="H10" s="225" t="s">
        <v>368</v>
      </c>
      <c r="I10" s="219" t="s">
        <v>367</v>
      </c>
      <c r="J10" s="208"/>
      <c r="K10" s="208"/>
      <c r="L10" s="220" t="s">
        <v>366</v>
      </c>
      <c r="M10" s="219" t="s">
        <v>363</v>
      </c>
      <c r="N10" s="208"/>
      <c r="O10" s="209"/>
    </row>
    <row r="11" spans="1:25" ht="14.25" customHeight="1" x14ac:dyDescent="0.3">
      <c r="A11" s="215"/>
      <c r="B11" s="224" t="s">
        <v>412</v>
      </c>
      <c r="C11" s="223" t="s">
        <v>361</v>
      </c>
      <c r="D11" s="223">
        <v>778.19</v>
      </c>
      <c r="E11" s="213" t="s">
        <v>347</v>
      </c>
      <c r="F11" s="213" t="s">
        <v>353</v>
      </c>
      <c r="G11" s="213" t="s">
        <v>196</v>
      </c>
      <c r="H11" s="222">
        <v>1</v>
      </c>
      <c r="I11" s="221">
        <f>H11*Table_2[[#This Row],[Área (m²)]]</f>
        <v>778.19</v>
      </c>
      <c r="J11" s="208"/>
      <c r="K11" s="208"/>
      <c r="L11" s="218" t="s">
        <v>193</v>
      </c>
      <c r="M11" s="217">
        <f>SUMIF(F:F,"Sim",I:I)</f>
        <v>9257.5640000000021</v>
      </c>
      <c r="N11" s="208"/>
      <c r="O11" s="209"/>
    </row>
    <row r="12" spans="1:25" ht="14.25" customHeight="1" thickBot="1" x14ac:dyDescent="0.35">
      <c r="A12" s="215"/>
      <c r="B12" s="214" t="s">
        <v>412</v>
      </c>
      <c r="C12" s="213" t="s">
        <v>360</v>
      </c>
      <c r="D12" s="213">
        <f>80.83*1.2</f>
        <v>96.995999999999995</v>
      </c>
      <c r="E12" s="213" t="s">
        <v>472</v>
      </c>
      <c r="F12" s="213" t="s">
        <v>353</v>
      </c>
      <c r="G12" s="213" t="s">
        <v>196</v>
      </c>
      <c r="H12" s="212">
        <v>1</v>
      </c>
      <c r="I12" s="216">
        <f>H12*Table_2[[#This Row],[Área (m²)]]</f>
        <v>96.995999999999995</v>
      </c>
      <c r="J12" s="208"/>
      <c r="K12" s="208"/>
      <c r="L12" s="211" t="s">
        <v>192</v>
      </c>
      <c r="M12" s="216">
        <f>SUM(I58:I239)</f>
        <v>7235.9139999999989</v>
      </c>
      <c r="N12" s="208"/>
      <c r="O12" s="209"/>
    </row>
    <row r="13" spans="1:25" ht="14.25" customHeight="1" thickBot="1" x14ac:dyDescent="0.35">
      <c r="A13" s="215"/>
      <c r="B13" s="214" t="s">
        <v>412</v>
      </c>
      <c r="C13" s="213" t="s">
        <v>385</v>
      </c>
      <c r="D13" s="213">
        <f>15.66+18*1.2*0.18</f>
        <v>19.547999999999998</v>
      </c>
      <c r="E13" s="213" t="s">
        <v>343</v>
      </c>
      <c r="F13" s="213" t="s">
        <v>354</v>
      </c>
      <c r="G13" s="213" t="s">
        <v>196</v>
      </c>
      <c r="H13" s="212">
        <v>1</v>
      </c>
      <c r="I13" s="216">
        <f>H13*Table_2[[#This Row],[Área (m²)]]</f>
        <v>19.547999999999998</v>
      </c>
      <c r="J13" s="208"/>
      <c r="K13" s="208"/>
      <c r="L13" s="321" t="s">
        <v>401</v>
      </c>
      <c r="M13" s="323"/>
      <c r="N13" s="208"/>
      <c r="O13" s="209"/>
    </row>
    <row r="14" spans="1:25" ht="14.25" customHeight="1" x14ac:dyDescent="0.3">
      <c r="A14" s="215"/>
      <c r="B14" s="214" t="s">
        <v>413</v>
      </c>
      <c r="C14" s="213" t="s">
        <v>361</v>
      </c>
      <c r="D14" s="213">
        <v>778.19</v>
      </c>
      <c r="E14" s="213" t="s">
        <v>347</v>
      </c>
      <c r="F14" s="213" t="s">
        <v>353</v>
      </c>
      <c r="G14" s="213" t="s">
        <v>196</v>
      </c>
      <c r="H14" s="212">
        <v>1</v>
      </c>
      <c r="I14" s="216">
        <f>H14*Table_2[[#This Row],[Área (m²)]]</f>
        <v>778.19</v>
      </c>
      <c r="J14" s="208"/>
      <c r="K14" s="208"/>
      <c r="L14" s="220" t="s">
        <v>366</v>
      </c>
      <c r="M14" s="219" t="s">
        <v>363</v>
      </c>
      <c r="N14" s="208"/>
      <c r="O14" s="209"/>
    </row>
    <row r="15" spans="1:25" ht="14.25" customHeight="1" x14ac:dyDescent="0.3">
      <c r="A15" s="215"/>
      <c r="B15" s="214" t="s">
        <v>413</v>
      </c>
      <c r="C15" s="213" t="s">
        <v>360</v>
      </c>
      <c r="D15" s="213">
        <f>80.83*1.2</f>
        <v>96.995999999999995</v>
      </c>
      <c r="E15" s="213" t="s">
        <v>472</v>
      </c>
      <c r="F15" s="213" t="s">
        <v>353</v>
      </c>
      <c r="G15" s="213" t="s">
        <v>196</v>
      </c>
      <c r="H15" s="212">
        <v>1</v>
      </c>
      <c r="I15" s="216">
        <f>H15*Table_2[[#This Row],[Área (m²)]]</f>
        <v>96.995999999999995</v>
      </c>
      <c r="J15" s="208"/>
      <c r="K15" s="208"/>
      <c r="L15" s="218" t="s">
        <v>196</v>
      </c>
      <c r="M15" s="217">
        <f>SUMIF(G:G,L15,I:I)</f>
        <v>3110.6259999999993</v>
      </c>
      <c r="N15" s="208"/>
      <c r="O15" s="209"/>
    </row>
    <row r="16" spans="1:25" ht="14.25" customHeight="1" x14ac:dyDescent="0.3">
      <c r="A16" s="215"/>
      <c r="B16" s="214" t="s">
        <v>413</v>
      </c>
      <c r="C16" s="213" t="s">
        <v>385</v>
      </c>
      <c r="D16" s="213">
        <f>15.66+18*1.2*0.18</f>
        <v>19.547999999999998</v>
      </c>
      <c r="E16" s="213" t="s">
        <v>343</v>
      </c>
      <c r="F16" s="213" t="s">
        <v>354</v>
      </c>
      <c r="G16" s="213" t="s">
        <v>196</v>
      </c>
      <c r="H16" s="212">
        <v>1</v>
      </c>
      <c r="I16" s="216">
        <f>H16*Table_2[[#This Row],[Área (m²)]]</f>
        <v>19.547999999999998</v>
      </c>
      <c r="J16" s="208"/>
      <c r="K16" s="208"/>
      <c r="L16" s="211" t="s">
        <v>399</v>
      </c>
      <c r="M16" s="217">
        <f>SUMIF(G:G,L16,I:I)</f>
        <v>6751.3699999999981</v>
      </c>
      <c r="N16" s="208"/>
      <c r="O16" s="209"/>
    </row>
    <row r="17" spans="1:15" ht="14.25" customHeight="1" x14ac:dyDescent="0.3">
      <c r="A17" s="215"/>
      <c r="B17" s="214" t="s">
        <v>414</v>
      </c>
      <c r="C17" s="213" t="s">
        <v>386</v>
      </c>
      <c r="D17" s="213">
        <v>134.11000000000001</v>
      </c>
      <c r="E17" s="213" t="s">
        <v>425</v>
      </c>
      <c r="F17" s="213" t="s">
        <v>353</v>
      </c>
      <c r="G17" s="213" t="s">
        <v>213</v>
      </c>
      <c r="H17" s="212">
        <v>1</v>
      </c>
      <c r="I17" s="216">
        <f>H17*Table_2[[#This Row],[Área (m²)]]</f>
        <v>134.11000000000001</v>
      </c>
      <c r="J17" s="208"/>
      <c r="K17" s="208"/>
      <c r="L17" s="211" t="s">
        <v>506</v>
      </c>
      <c r="M17" s="217">
        <f>SUMIF(G:G,L17,I:I)</f>
        <v>1219.4500000000003</v>
      </c>
      <c r="N17" s="208"/>
      <c r="O17" s="209"/>
    </row>
    <row r="18" spans="1:15" ht="14.25" customHeight="1" x14ac:dyDescent="0.3">
      <c r="A18" s="215"/>
      <c r="B18" s="214" t="s">
        <v>414</v>
      </c>
      <c r="C18" s="213" t="s">
        <v>382</v>
      </c>
      <c r="D18" s="213">
        <v>114.55</v>
      </c>
      <c r="E18" s="213" t="s">
        <v>347</v>
      </c>
      <c r="F18" s="213" t="s">
        <v>353</v>
      </c>
      <c r="G18" s="213" t="s">
        <v>213</v>
      </c>
      <c r="H18" s="212">
        <v>1</v>
      </c>
      <c r="I18" s="216">
        <f>H18*Table_2[[#This Row],[Área (m²)]]</f>
        <v>114.55</v>
      </c>
      <c r="J18" s="208"/>
      <c r="K18" s="208"/>
      <c r="L18" s="211"/>
      <c r="M18" s="217"/>
      <c r="N18" s="208"/>
      <c r="O18" s="209"/>
    </row>
    <row r="19" spans="1:15" ht="14.25" customHeight="1" x14ac:dyDescent="0.3">
      <c r="A19" s="215"/>
      <c r="B19" s="214" t="s">
        <v>414</v>
      </c>
      <c r="C19" s="213" t="s">
        <v>361</v>
      </c>
      <c r="D19" s="213">
        <v>746.82</v>
      </c>
      <c r="E19" s="213" t="s">
        <v>347</v>
      </c>
      <c r="F19" s="213" t="s">
        <v>353</v>
      </c>
      <c r="G19" s="213" t="s">
        <v>196</v>
      </c>
      <c r="H19" s="212">
        <v>1</v>
      </c>
      <c r="I19" s="216">
        <f>H19*Table_2[[#This Row],[Área (m²)]]</f>
        <v>746.82</v>
      </c>
      <c r="J19" s="208" t="s">
        <v>428</v>
      </c>
      <c r="K19" s="208"/>
      <c r="L19" s="211"/>
      <c r="M19" s="217"/>
      <c r="N19" s="208"/>
      <c r="O19" s="209"/>
    </row>
    <row r="20" spans="1:15" ht="14.25" customHeight="1" thickBot="1" x14ac:dyDescent="0.35">
      <c r="A20" s="215"/>
      <c r="B20" s="214" t="s">
        <v>414</v>
      </c>
      <c r="C20" s="213" t="s">
        <v>422</v>
      </c>
      <c r="D20" s="213">
        <v>67.69</v>
      </c>
      <c r="E20" s="213" t="s">
        <v>347</v>
      </c>
      <c r="F20" s="213" t="s">
        <v>353</v>
      </c>
      <c r="G20" s="213" t="s">
        <v>196</v>
      </c>
      <c r="H20" s="212">
        <v>1</v>
      </c>
      <c r="I20" s="216">
        <f>H20*Table_2[[#This Row],[Área (m²)]]</f>
        <v>67.69</v>
      </c>
      <c r="J20" s="208" t="s">
        <v>428</v>
      </c>
      <c r="K20" s="208"/>
      <c r="L20" s="248"/>
      <c r="M20" s="249"/>
      <c r="N20" s="208"/>
      <c r="O20" s="209"/>
    </row>
    <row r="21" spans="1:15" ht="14.25" customHeight="1" thickBot="1" x14ac:dyDescent="0.35">
      <c r="A21" s="215"/>
      <c r="B21" s="214" t="s">
        <v>414</v>
      </c>
      <c r="C21" s="213" t="s">
        <v>415</v>
      </c>
      <c r="D21" s="213">
        <v>29.99</v>
      </c>
      <c r="E21" s="213" t="s">
        <v>200</v>
      </c>
      <c r="F21" s="213" t="s">
        <v>354</v>
      </c>
      <c r="G21" s="213" t="s">
        <v>399</v>
      </c>
      <c r="H21" s="212">
        <v>1</v>
      </c>
      <c r="I21" s="216">
        <f>H21*Table_2[[#This Row],[Área (m²)]]</f>
        <v>29.99</v>
      </c>
      <c r="J21" s="208"/>
      <c r="K21" s="208"/>
      <c r="L21" s="321" t="s">
        <v>365</v>
      </c>
      <c r="M21" s="323"/>
      <c r="N21" s="208"/>
      <c r="O21" s="209"/>
    </row>
    <row r="22" spans="1:15" ht="14.25" customHeight="1" x14ac:dyDescent="0.3">
      <c r="A22" s="215"/>
      <c r="B22" s="214" t="s">
        <v>414</v>
      </c>
      <c r="C22" s="213" t="s">
        <v>416</v>
      </c>
      <c r="D22" s="213">
        <v>29.92</v>
      </c>
      <c r="E22" s="213" t="s">
        <v>200</v>
      </c>
      <c r="F22" s="213" t="s">
        <v>354</v>
      </c>
      <c r="G22" s="213" t="s">
        <v>399</v>
      </c>
      <c r="H22" s="212">
        <v>1</v>
      </c>
      <c r="I22" s="216">
        <f>H22*Table_2[[#This Row],[Área (m²)]]</f>
        <v>29.92</v>
      </c>
      <c r="J22" s="208"/>
      <c r="K22" s="208"/>
      <c r="L22" s="220" t="s">
        <v>364</v>
      </c>
      <c r="M22" s="219" t="s">
        <v>363</v>
      </c>
      <c r="N22" s="208"/>
      <c r="O22" s="209"/>
    </row>
    <row r="23" spans="1:15" ht="14.25" customHeight="1" x14ac:dyDescent="0.3">
      <c r="A23" s="215"/>
      <c r="B23" s="214" t="s">
        <v>414</v>
      </c>
      <c r="C23" s="213" t="s">
        <v>417</v>
      </c>
      <c r="D23" s="213">
        <v>33.19</v>
      </c>
      <c r="E23" s="213" t="s">
        <v>200</v>
      </c>
      <c r="F23" s="213" t="s">
        <v>354</v>
      </c>
      <c r="G23" s="213" t="s">
        <v>399</v>
      </c>
      <c r="H23" s="212">
        <v>1</v>
      </c>
      <c r="I23" s="216">
        <f>H23*Table_2[[#This Row],[Área (m²)]]</f>
        <v>33.19</v>
      </c>
      <c r="J23" s="208"/>
      <c r="K23" s="208"/>
      <c r="L23" s="218" t="s">
        <v>347</v>
      </c>
      <c r="M23" s="243">
        <f t="shared" ref="M23:M34" si="0">SUMIF(E:E,L23,I:I)</f>
        <v>2485.44</v>
      </c>
      <c r="N23" s="208"/>
      <c r="O23" s="209"/>
    </row>
    <row r="24" spans="1:15" ht="14.25" customHeight="1" x14ac:dyDescent="0.3">
      <c r="A24" s="215"/>
      <c r="B24" s="214" t="s">
        <v>414</v>
      </c>
      <c r="C24" s="213" t="s">
        <v>418</v>
      </c>
      <c r="D24" s="213">
        <v>71.66</v>
      </c>
      <c r="E24" s="213" t="s">
        <v>200</v>
      </c>
      <c r="F24" s="213" t="s">
        <v>354</v>
      </c>
      <c r="G24" s="213" t="s">
        <v>399</v>
      </c>
      <c r="H24" s="212">
        <v>1</v>
      </c>
      <c r="I24" s="216">
        <f>H24*Table_2[[#This Row],[Área (m²)]]</f>
        <v>71.66</v>
      </c>
      <c r="J24" s="208"/>
      <c r="K24" s="208"/>
      <c r="L24" s="211" t="s">
        <v>472</v>
      </c>
      <c r="M24" s="243">
        <f t="shared" si="0"/>
        <v>193.99199999999999</v>
      </c>
      <c r="N24" s="208"/>
      <c r="O24" s="209"/>
    </row>
    <row r="25" spans="1:15" ht="14.25" customHeight="1" x14ac:dyDescent="0.3">
      <c r="A25" s="215"/>
      <c r="B25" s="214" t="s">
        <v>414</v>
      </c>
      <c r="C25" s="213" t="s">
        <v>419</v>
      </c>
      <c r="D25" s="213">
        <f>2.95*2+3.29*2</f>
        <v>12.48</v>
      </c>
      <c r="E25" s="213" t="s">
        <v>200</v>
      </c>
      <c r="F25" s="213" t="s">
        <v>354</v>
      </c>
      <c r="G25" s="213" t="s">
        <v>399</v>
      </c>
      <c r="H25" s="212">
        <v>1</v>
      </c>
      <c r="I25" s="216">
        <f>H25*Table_2[[#This Row],[Área (m²)]]</f>
        <v>12.48</v>
      </c>
      <c r="J25" s="208"/>
      <c r="K25" s="208"/>
      <c r="L25" s="211" t="s">
        <v>343</v>
      </c>
      <c r="M25" s="243">
        <f t="shared" si="0"/>
        <v>500.98399999999987</v>
      </c>
      <c r="N25" s="208"/>
      <c r="O25" s="209"/>
    </row>
    <row r="26" spans="1:15" ht="14.25" customHeight="1" x14ac:dyDescent="0.3">
      <c r="A26" s="215"/>
      <c r="B26" s="214" t="s">
        <v>414</v>
      </c>
      <c r="C26" s="213" t="s">
        <v>420</v>
      </c>
      <c r="D26" s="213">
        <v>15.38</v>
      </c>
      <c r="E26" s="213" t="s">
        <v>423</v>
      </c>
      <c r="F26" s="213" t="s">
        <v>354</v>
      </c>
      <c r="G26" s="213" t="s">
        <v>399</v>
      </c>
      <c r="H26" s="212">
        <v>1</v>
      </c>
      <c r="I26" s="216">
        <f>H26*Table_2[[#This Row],[Área (m²)]]</f>
        <v>15.38</v>
      </c>
      <c r="J26" s="208"/>
      <c r="K26" s="208"/>
      <c r="L26" s="211" t="s">
        <v>425</v>
      </c>
      <c r="M26" s="243">
        <f t="shared" si="0"/>
        <v>134.11000000000001</v>
      </c>
      <c r="N26" s="208"/>
      <c r="O26" s="209"/>
    </row>
    <row r="27" spans="1:15" ht="14.25" customHeight="1" x14ac:dyDescent="0.3">
      <c r="A27" s="215"/>
      <c r="B27" s="214" t="s">
        <v>414</v>
      </c>
      <c r="C27" s="213" t="s">
        <v>357</v>
      </c>
      <c r="D27" s="213">
        <v>23.11</v>
      </c>
      <c r="E27" s="213" t="s">
        <v>200</v>
      </c>
      <c r="F27" s="213" t="s">
        <v>354</v>
      </c>
      <c r="G27" s="213" t="s">
        <v>399</v>
      </c>
      <c r="H27" s="212">
        <v>1</v>
      </c>
      <c r="I27" s="216">
        <f>H27*Table_2[[#This Row],[Área (m²)]]</f>
        <v>23.11</v>
      </c>
      <c r="J27" s="208"/>
      <c r="K27" s="208"/>
      <c r="L27" s="211" t="s">
        <v>200</v>
      </c>
      <c r="M27" s="243">
        <f t="shared" si="0"/>
        <v>4938.989999999998</v>
      </c>
      <c r="N27" s="208"/>
      <c r="O27" s="209"/>
    </row>
    <row r="28" spans="1:15" ht="14.25" customHeight="1" x14ac:dyDescent="0.3">
      <c r="A28" s="215"/>
      <c r="B28" s="214" t="s">
        <v>414</v>
      </c>
      <c r="C28" s="213" t="s">
        <v>355</v>
      </c>
      <c r="D28" s="213">
        <v>24.31</v>
      </c>
      <c r="E28" s="213" t="s">
        <v>200</v>
      </c>
      <c r="F28" s="213" t="s">
        <v>354</v>
      </c>
      <c r="G28" s="213" t="s">
        <v>399</v>
      </c>
      <c r="H28" s="212">
        <v>1</v>
      </c>
      <c r="I28" s="216">
        <f>H28*Table_2[[#This Row],[Área (m²)]]</f>
        <v>24.31</v>
      </c>
      <c r="J28" s="208"/>
      <c r="K28" s="208"/>
      <c r="L28" s="211" t="s">
        <v>423</v>
      </c>
      <c r="M28" s="243">
        <f t="shared" si="0"/>
        <v>27.2</v>
      </c>
      <c r="N28" s="208"/>
      <c r="O28" s="209"/>
    </row>
    <row r="29" spans="1:15" ht="14.25" customHeight="1" x14ac:dyDescent="0.3">
      <c r="A29" s="215"/>
      <c r="B29" s="214" t="s">
        <v>414</v>
      </c>
      <c r="C29" s="213" t="s">
        <v>383</v>
      </c>
      <c r="D29" s="213">
        <v>3.03</v>
      </c>
      <c r="E29" s="213" t="s">
        <v>200</v>
      </c>
      <c r="F29" s="213" t="s">
        <v>354</v>
      </c>
      <c r="G29" s="213" t="s">
        <v>399</v>
      </c>
      <c r="H29" s="212">
        <v>1</v>
      </c>
      <c r="I29" s="216">
        <f>H29*Table_2[[#This Row],[Área (m²)]]</f>
        <v>3.03</v>
      </c>
      <c r="J29" s="208"/>
      <c r="K29" s="208"/>
      <c r="L29" s="211" t="s">
        <v>395</v>
      </c>
      <c r="M29" s="216">
        <f t="shared" si="0"/>
        <v>126.97999999999999</v>
      </c>
      <c r="N29" s="208"/>
      <c r="O29" s="209"/>
    </row>
    <row r="30" spans="1:15" ht="14.25" customHeight="1" x14ac:dyDescent="0.3">
      <c r="A30" s="215"/>
      <c r="B30" s="214" t="s">
        <v>414</v>
      </c>
      <c r="C30" s="213" t="s">
        <v>384</v>
      </c>
      <c r="D30" s="213">
        <v>8.35</v>
      </c>
      <c r="E30" s="213" t="s">
        <v>423</v>
      </c>
      <c r="F30" s="213" t="s">
        <v>354</v>
      </c>
      <c r="G30" s="213" t="s">
        <v>399</v>
      </c>
      <c r="H30" s="212">
        <v>1</v>
      </c>
      <c r="I30" s="216">
        <f>H30*Table_2[[#This Row],[Área (m²)]]</f>
        <v>8.35</v>
      </c>
      <c r="J30" s="208"/>
      <c r="K30" s="208"/>
      <c r="L30" s="211" t="s">
        <v>389</v>
      </c>
      <c r="M30" s="216">
        <f t="shared" si="0"/>
        <v>2328.2100000000005</v>
      </c>
      <c r="N30" s="208"/>
      <c r="O30" s="209"/>
    </row>
    <row r="31" spans="1:15" ht="14.25" customHeight="1" x14ac:dyDescent="0.3">
      <c r="A31" s="215"/>
      <c r="B31" s="214" t="s">
        <v>414</v>
      </c>
      <c r="C31" s="213" t="s">
        <v>424</v>
      </c>
      <c r="D31" s="213">
        <v>3.47</v>
      </c>
      <c r="E31" s="213" t="s">
        <v>423</v>
      </c>
      <c r="F31" s="213" t="s">
        <v>354</v>
      </c>
      <c r="G31" s="213" t="s">
        <v>399</v>
      </c>
      <c r="H31" s="212">
        <v>1</v>
      </c>
      <c r="I31" s="216">
        <f>H31*Table_2[[#This Row],[Área (m²)]]</f>
        <v>3.47</v>
      </c>
      <c r="J31" s="208"/>
      <c r="K31" s="208"/>
      <c r="L31" s="211" t="s">
        <v>441</v>
      </c>
      <c r="M31" s="216">
        <f t="shared" si="0"/>
        <v>7.41</v>
      </c>
      <c r="N31" s="208"/>
      <c r="O31" s="209"/>
    </row>
    <row r="32" spans="1:15" ht="14.25" customHeight="1" x14ac:dyDescent="0.3">
      <c r="A32" s="215"/>
      <c r="B32" s="214" t="s">
        <v>414</v>
      </c>
      <c r="C32" s="213" t="s">
        <v>421</v>
      </c>
      <c r="D32" s="213">
        <v>11.42</v>
      </c>
      <c r="E32" s="213" t="s">
        <v>343</v>
      </c>
      <c r="F32" s="213" t="s">
        <v>354</v>
      </c>
      <c r="G32" s="213" t="s">
        <v>213</v>
      </c>
      <c r="H32" s="212">
        <v>1</v>
      </c>
      <c r="I32" s="216">
        <f>H32*Table_2[[#This Row],[Área (m²)]]</f>
        <v>11.42</v>
      </c>
      <c r="J32" s="208"/>
      <c r="K32" s="208"/>
      <c r="L32" s="211" t="s">
        <v>440</v>
      </c>
      <c r="M32" s="216">
        <f t="shared" si="0"/>
        <v>96.22</v>
      </c>
      <c r="N32" s="208"/>
      <c r="O32" s="209"/>
    </row>
    <row r="33" spans="1:15" ht="14.25" customHeight="1" x14ac:dyDescent="0.3">
      <c r="A33" s="215"/>
      <c r="B33" s="214" t="s">
        <v>414</v>
      </c>
      <c r="C33" s="213" t="s">
        <v>385</v>
      </c>
      <c r="D33" s="213">
        <f>19.27+20*1.2*0.18</f>
        <v>23.59</v>
      </c>
      <c r="E33" s="213" t="s">
        <v>343</v>
      </c>
      <c r="F33" s="213" t="s">
        <v>354</v>
      </c>
      <c r="G33" s="213" t="s">
        <v>196</v>
      </c>
      <c r="H33" s="212">
        <v>1</v>
      </c>
      <c r="I33" s="216">
        <f>H33*Table_2[[#This Row],[Área (m²)]]</f>
        <v>23.59</v>
      </c>
      <c r="J33" s="208"/>
      <c r="K33" s="208"/>
      <c r="L33" s="211" t="s">
        <v>326</v>
      </c>
      <c r="M33" s="216">
        <f t="shared" si="0"/>
        <v>54.960000000000008</v>
      </c>
      <c r="N33" s="208"/>
      <c r="O33" s="209"/>
    </row>
    <row r="34" spans="1:15" ht="14.25" customHeight="1" x14ac:dyDescent="0.3">
      <c r="A34" s="215"/>
      <c r="B34" s="214" t="s">
        <v>426</v>
      </c>
      <c r="C34" s="213" t="s">
        <v>415</v>
      </c>
      <c r="D34" s="213">
        <v>13.15</v>
      </c>
      <c r="E34" s="213" t="s">
        <v>200</v>
      </c>
      <c r="F34" s="213" t="s">
        <v>354</v>
      </c>
      <c r="G34" s="213" t="s">
        <v>399</v>
      </c>
      <c r="H34" s="212">
        <v>1</v>
      </c>
      <c r="I34" s="216">
        <f>H34*Table_2[[#This Row],[Área (m²)]]</f>
        <v>13.15</v>
      </c>
      <c r="J34" s="208"/>
      <c r="K34" s="208"/>
      <c r="L34" s="211" t="s">
        <v>213</v>
      </c>
      <c r="M34" s="216">
        <f t="shared" si="0"/>
        <v>1504.95</v>
      </c>
      <c r="N34" s="208"/>
      <c r="O34" s="209"/>
    </row>
    <row r="35" spans="1:15" ht="14.25" customHeight="1" x14ac:dyDescent="0.3">
      <c r="A35" s="215"/>
      <c r="B35" s="214" t="s">
        <v>426</v>
      </c>
      <c r="C35" s="213" t="s">
        <v>416</v>
      </c>
      <c r="D35" s="213">
        <v>14.68</v>
      </c>
      <c r="E35" s="213" t="s">
        <v>200</v>
      </c>
      <c r="F35" s="213" t="s">
        <v>354</v>
      </c>
      <c r="G35" s="213" t="s">
        <v>399</v>
      </c>
      <c r="H35" s="212">
        <v>1</v>
      </c>
      <c r="I35" s="216">
        <f>H35*Table_2[[#This Row],[Área (m²)]]</f>
        <v>14.68</v>
      </c>
      <c r="J35" s="208"/>
      <c r="K35" s="208"/>
      <c r="L35" s="211"/>
      <c r="M35" s="210"/>
      <c r="N35" s="208"/>
      <c r="O35" s="209"/>
    </row>
    <row r="36" spans="1:15" ht="14.25" customHeight="1" x14ac:dyDescent="0.3">
      <c r="A36" s="215"/>
      <c r="B36" s="214" t="s">
        <v>426</v>
      </c>
      <c r="C36" s="213" t="s">
        <v>417</v>
      </c>
      <c r="D36" s="213">
        <v>15.63</v>
      </c>
      <c r="E36" s="213" t="s">
        <v>200</v>
      </c>
      <c r="F36" s="213" t="s">
        <v>354</v>
      </c>
      <c r="G36" s="213" t="s">
        <v>399</v>
      </c>
      <c r="H36" s="212">
        <v>1</v>
      </c>
      <c r="I36" s="216">
        <f>H36*Table_2[[#This Row],[Área (m²)]]</f>
        <v>15.63</v>
      </c>
      <c r="J36" s="208"/>
      <c r="K36" s="208"/>
      <c r="L36" s="211"/>
      <c r="M36" s="210"/>
      <c r="N36" s="208"/>
      <c r="O36" s="209"/>
    </row>
    <row r="37" spans="1:15" ht="14.25" customHeight="1" x14ac:dyDescent="0.3">
      <c r="A37" s="215"/>
      <c r="B37" s="214" t="s">
        <v>426</v>
      </c>
      <c r="C37" s="213" t="s">
        <v>418</v>
      </c>
      <c r="D37" s="213">
        <v>34.46</v>
      </c>
      <c r="E37" s="213" t="s">
        <v>200</v>
      </c>
      <c r="F37" s="213" t="s">
        <v>354</v>
      </c>
      <c r="G37" s="213" t="s">
        <v>399</v>
      </c>
      <c r="H37" s="212">
        <v>1</v>
      </c>
      <c r="I37" s="216">
        <f>H37*Table_2[[#This Row],[Área (m²)]]</f>
        <v>34.46</v>
      </c>
      <c r="J37" s="208"/>
      <c r="K37" s="208"/>
      <c r="L37" s="211"/>
      <c r="M37" s="210"/>
      <c r="N37" s="208"/>
      <c r="O37" s="209"/>
    </row>
    <row r="38" spans="1:15" ht="14.25" customHeight="1" x14ac:dyDescent="0.3">
      <c r="A38" s="215"/>
      <c r="B38" s="214" t="s">
        <v>426</v>
      </c>
      <c r="C38" s="213" t="s">
        <v>427</v>
      </c>
      <c r="D38" s="213">
        <f>1*20*0.18+1*19*0.3</f>
        <v>9.3000000000000007</v>
      </c>
      <c r="E38" s="213" t="s">
        <v>200</v>
      </c>
      <c r="F38" s="213" t="s">
        <v>354</v>
      </c>
      <c r="G38" s="213" t="s">
        <v>196</v>
      </c>
      <c r="H38" s="212">
        <v>4</v>
      </c>
      <c r="I38" s="216">
        <f>H38*Table_2[[#This Row],[Área (m²)]]</f>
        <v>37.200000000000003</v>
      </c>
      <c r="J38" s="208"/>
      <c r="K38" s="208"/>
      <c r="L38" s="211"/>
      <c r="M38" s="210"/>
      <c r="N38" s="208"/>
      <c r="O38" s="209"/>
    </row>
    <row r="39" spans="1:15" ht="14.25" customHeight="1" x14ac:dyDescent="0.3">
      <c r="A39" s="215"/>
      <c r="B39" s="214" t="s">
        <v>426</v>
      </c>
      <c r="C39" s="213" t="s">
        <v>358</v>
      </c>
      <c r="D39" s="213">
        <v>92.36</v>
      </c>
      <c r="E39" s="213" t="s">
        <v>395</v>
      </c>
      <c r="F39" s="213" t="s">
        <v>354</v>
      </c>
      <c r="G39" s="213" t="s">
        <v>399</v>
      </c>
      <c r="H39" s="212">
        <v>1</v>
      </c>
      <c r="I39" s="216">
        <f>H39*Table_2[[#This Row],[Área (m²)]]</f>
        <v>92.36</v>
      </c>
      <c r="J39" s="208"/>
      <c r="K39" s="208"/>
      <c r="L39" s="211"/>
      <c r="M39" s="210"/>
      <c r="N39" s="208"/>
      <c r="O39" s="209"/>
    </row>
    <row r="40" spans="1:15" ht="14.25" customHeight="1" x14ac:dyDescent="0.3">
      <c r="A40" s="215"/>
      <c r="B40" s="214" t="s">
        <v>426</v>
      </c>
      <c r="C40" s="213" t="s">
        <v>429</v>
      </c>
      <c r="D40" s="213">
        <v>11.33</v>
      </c>
      <c r="E40" s="213" t="s">
        <v>200</v>
      </c>
      <c r="F40" s="213" t="s">
        <v>354</v>
      </c>
      <c r="G40" s="213" t="s">
        <v>399</v>
      </c>
      <c r="H40" s="212">
        <v>1</v>
      </c>
      <c r="I40" s="216">
        <f>H40*Table_2[[#This Row],[Área (m²)]]</f>
        <v>11.33</v>
      </c>
      <c r="J40" s="208"/>
      <c r="K40" s="208"/>
      <c r="L40" s="211"/>
      <c r="M40" s="210"/>
      <c r="N40" s="208"/>
      <c r="O40" s="209"/>
    </row>
    <row r="41" spans="1:15" ht="14.25" customHeight="1" x14ac:dyDescent="0.3">
      <c r="A41" s="215"/>
      <c r="B41" s="214" t="s">
        <v>426</v>
      </c>
      <c r="C41" s="213" t="s">
        <v>355</v>
      </c>
      <c r="D41" s="213">
        <v>50.28</v>
      </c>
      <c r="E41" s="213" t="s">
        <v>200</v>
      </c>
      <c r="F41" s="213" t="s">
        <v>354</v>
      </c>
      <c r="G41" s="213" t="s">
        <v>399</v>
      </c>
      <c r="H41" s="212">
        <v>1</v>
      </c>
      <c r="I41" s="216">
        <f>H41*Table_2[[#This Row],[Área (m²)]]</f>
        <v>50.28</v>
      </c>
      <c r="J41" s="208"/>
      <c r="K41" s="208"/>
      <c r="L41" s="211"/>
      <c r="M41" s="210"/>
      <c r="N41" s="208"/>
      <c r="O41" s="209"/>
    </row>
    <row r="42" spans="1:15" ht="14.25" customHeight="1" x14ac:dyDescent="0.3">
      <c r="A42" s="215"/>
      <c r="B42" s="214" t="s">
        <v>426</v>
      </c>
      <c r="C42" s="213" t="s">
        <v>430</v>
      </c>
      <c r="D42" s="213">
        <v>2.6</v>
      </c>
      <c r="E42" s="213" t="s">
        <v>200</v>
      </c>
      <c r="F42" s="213" t="s">
        <v>354</v>
      </c>
      <c r="G42" s="213" t="s">
        <v>399</v>
      </c>
      <c r="H42" s="212">
        <v>1</v>
      </c>
      <c r="I42" s="216">
        <f>H42*Table_2[[#This Row],[Área (m²)]]</f>
        <v>2.6</v>
      </c>
      <c r="J42" s="208"/>
      <c r="K42" s="208"/>
      <c r="L42" s="211"/>
      <c r="M42" s="210"/>
      <c r="N42" s="208"/>
      <c r="O42" s="209"/>
    </row>
    <row r="43" spans="1:15" ht="14.25" customHeight="1" x14ac:dyDescent="0.3">
      <c r="A43" s="215"/>
      <c r="B43" s="214" t="s">
        <v>426</v>
      </c>
      <c r="C43" s="213" t="s">
        <v>431</v>
      </c>
      <c r="D43" s="213">
        <v>9.73</v>
      </c>
      <c r="E43" s="213" t="s">
        <v>389</v>
      </c>
      <c r="F43" s="213" t="s">
        <v>354</v>
      </c>
      <c r="G43" s="213" t="s">
        <v>399</v>
      </c>
      <c r="H43" s="212">
        <v>1</v>
      </c>
      <c r="I43" s="216">
        <f>H43*Table_2[[#This Row],[Área (m²)]]</f>
        <v>9.73</v>
      </c>
      <c r="J43" s="208"/>
      <c r="K43" s="208"/>
      <c r="L43" s="211"/>
      <c r="M43" s="210"/>
      <c r="N43" s="208"/>
      <c r="O43" s="209"/>
    </row>
    <row r="44" spans="1:15" ht="14.25" customHeight="1" x14ac:dyDescent="0.3">
      <c r="A44" s="215"/>
      <c r="B44" s="214" t="s">
        <v>426</v>
      </c>
      <c r="C44" s="213" t="s">
        <v>432</v>
      </c>
      <c r="D44" s="213">
        <v>39.9</v>
      </c>
      <c r="E44" s="213" t="s">
        <v>200</v>
      </c>
      <c r="F44" s="213" t="s">
        <v>354</v>
      </c>
      <c r="G44" s="213" t="s">
        <v>399</v>
      </c>
      <c r="H44" s="212">
        <v>1</v>
      </c>
      <c r="I44" s="216">
        <f>H44*Table_2[[#This Row],[Área (m²)]]</f>
        <v>39.9</v>
      </c>
      <c r="J44" s="208"/>
      <c r="K44" s="208"/>
      <c r="L44" s="211"/>
      <c r="M44" s="210"/>
      <c r="N44" s="208"/>
      <c r="O44" s="209"/>
    </row>
    <row r="45" spans="1:15" ht="14.25" customHeight="1" x14ac:dyDescent="0.3">
      <c r="A45" s="215"/>
      <c r="B45" s="214" t="s">
        <v>426</v>
      </c>
      <c r="C45" s="213" t="s">
        <v>433</v>
      </c>
      <c r="D45" s="213">
        <v>34.619999999999997</v>
      </c>
      <c r="E45" s="213" t="s">
        <v>395</v>
      </c>
      <c r="F45" s="213" t="s">
        <v>354</v>
      </c>
      <c r="G45" s="213" t="s">
        <v>399</v>
      </c>
      <c r="H45" s="212">
        <v>1</v>
      </c>
      <c r="I45" s="216">
        <f>H45*Table_2[[#This Row],[Área (m²)]]</f>
        <v>34.619999999999997</v>
      </c>
      <c r="J45" s="208"/>
      <c r="K45" s="208"/>
      <c r="L45" s="211"/>
      <c r="M45" s="210"/>
      <c r="N45" s="208"/>
      <c r="O45" s="209"/>
    </row>
    <row r="46" spans="1:15" ht="14.25" customHeight="1" x14ac:dyDescent="0.3">
      <c r="A46" s="215"/>
      <c r="B46" s="214" t="s">
        <v>426</v>
      </c>
      <c r="C46" s="213" t="s">
        <v>359</v>
      </c>
      <c r="D46" s="213">
        <v>90.44</v>
      </c>
      <c r="E46" s="213" t="s">
        <v>200</v>
      </c>
      <c r="F46" s="213" t="s">
        <v>354</v>
      </c>
      <c r="G46" s="213" t="s">
        <v>399</v>
      </c>
      <c r="H46" s="212">
        <v>1</v>
      </c>
      <c r="I46" s="216">
        <f>H46*Table_2[[#This Row],[Área (m²)]]</f>
        <v>90.44</v>
      </c>
      <c r="J46" s="208"/>
      <c r="K46" s="208"/>
      <c r="L46" s="211"/>
      <c r="M46" s="210"/>
      <c r="N46" s="208"/>
      <c r="O46" s="209"/>
    </row>
    <row r="47" spans="1:15" ht="14.25" customHeight="1" x14ac:dyDescent="0.3">
      <c r="A47" s="215"/>
      <c r="B47" s="214" t="s">
        <v>426</v>
      </c>
      <c r="C47" s="213" t="s">
        <v>394</v>
      </c>
      <c r="D47" s="213">
        <v>64.150000000000006</v>
      </c>
      <c r="E47" s="213" t="s">
        <v>200</v>
      </c>
      <c r="F47" s="213" t="s">
        <v>354</v>
      </c>
      <c r="G47" s="213" t="s">
        <v>399</v>
      </c>
      <c r="H47" s="212">
        <v>1</v>
      </c>
      <c r="I47" s="216">
        <f>H47*Table_2[[#This Row],[Área (m²)]]</f>
        <v>64.150000000000006</v>
      </c>
      <c r="J47" s="208"/>
      <c r="K47" s="208"/>
      <c r="L47" s="211"/>
      <c r="M47" s="210"/>
      <c r="N47" s="208"/>
      <c r="O47" s="209"/>
    </row>
    <row r="48" spans="1:15" ht="14.25" customHeight="1" x14ac:dyDescent="0.3">
      <c r="A48" s="215"/>
      <c r="B48" s="214" t="s">
        <v>426</v>
      </c>
      <c r="C48" s="213" t="s">
        <v>424</v>
      </c>
      <c r="D48" s="213">
        <v>7.83</v>
      </c>
      <c r="E48" s="213" t="s">
        <v>200</v>
      </c>
      <c r="F48" s="213" t="s">
        <v>354</v>
      </c>
      <c r="G48" s="213" t="s">
        <v>399</v>
      </c>
      <c r="H48" s="212">
        <v>2</v>
      </c>
      <c r="I48" s="216">
        <f>H48*Table_2[[#This Row],[Área (m²)]]</f>
        <v>15.66</v>
      </c>
      <c r="J48" s="208"/>
      <c r="K48" s="208"/>
      <c r="L48" s="211"/>
      <c r="M48" s="210"/>
      <c r="N48" s="208"/>
      <c r="O48" s="209"/>
    </row>
    <row r="49" spans="1:15" ht="14.25" customHeight="1" x14ac:dyDescent="0.3">
      <c r="A49" s="215"/>
      <c r="B49" s="214" t="s">
        <v>426</v>
      </c>
      <c r="C49" s="213" t="s">
        <v>438</v>
      </c>
      <c r="D49" s="213">
        <v>2.85</v>
      </c>
      <c r="E49" s="213" t="s">
        <v>200</v>
      </c>
      <c r="F49" s="213" t="s">
        <v>354</v>
      </c>
      <c r="G49" s="213" t="s">
        <v>399</v>
      </c>
      <c r="H49" s="212">
        <v>1</v>
      </c>
      <c r="I49" s="216">
        <f>H49*Table_2[[#This Row],[Área (m²)]]</f>
        <v>2.85</v>
      </c>
      <c r="J49" s="208"/>
      <c r="K49" s="208"/>
      <c r="L49" s="211"/>
      <c r="M49" s="210"/>
      <c r="N49" s="208"/>
      <c r="O49" s="209"/>
    </row>
    <row r="50" spans="1:15" ht="14.25" customHeight="1" x14ac:dyDescent="0.3">
      <c r="A50" s="215"/>
      <c r="B50" s="214" t="s">
        <v>426</v>
      </c>
      <c r="C50" s="213" t="s">
        <v>439</v>
      </c>
      <c r="D50" s="213">
        <v>3.09</v>
      </c>
      <c r="E50" s="213" t="s">
        <v>200</v>
      </c>
      <c r="F50" s="213" t="s">
        <v>354</v>
      </c>
      <c r="G50" s="213" t="s">
        <v>399</v>
      </c>
      <c r="H50" s="212">
        <v>1</v>
      </c>
      <c r="I50" s="216">
        <f>H50*Table_2[[#This Row],[Área (m²)]]</f>
        <v>3.09</v>
      </c>
      <c r="J50" s="208"/>
      <c r="K50" s="208"/>
      <c r="L50" s="211"/>
      <c r="M50" s="210"/>
      <c r="N50" s="208"/>
      <c r="O50" s="209"/>
    </row>
    <row r="51" spans="1:15" ht="14.25" customHeight="1" x14ac:dyDescent="0.3">
      <c r="A51" s="215"/>
      <c r="B51" s="214" t="s">
        <v>426</v>
      </c>
      <c r="C51" s="213" t="s">
        <v>434</v>
      </c>
      <c r="D51" s="213">
        <v>21.23</v>
      </c>
      <c r="E51" s="213" t="s">
        <v>200</v>
      </c>
      <c r="F51" s="213" t="s">
        <v>354</v>
      </c>
      <c r="G51" s="213" t="s">
        <v>399</v>
      </c>
      <c r="H51" s="212">
        <v>1</v>
      </c>
      <c r="I51" s="216">
        <f>H51*Table_2[[#This Row],[Área (m²)]]</f>
        <v>21.23</v>
      </c>
      <c r="J51" s="208"/>
      <c r="K51" s="208"/>
      <c r="L51" s="211"/>
      <c r="M51" s="210"/>
      <c r="N51" s="208"/>
      <c r="O51" s="209"/>
    </row>
    <row r="52" spans="1:15" ht="14.25" customHeight="1" x14ac:dyDescent="0.3">
      <c r="A52" s="215"/>
      <c r="B52" s="214" t="s">
        <v>426</v>
      </c>
      <c r="C52" s="213" t="s">
        <v>435</v>
      </c>
      <c r="D52" s="213">
        <f>19.14+112.8</f>
        <v>131.94</v>
      </c>
      <c r="E52" s="213" t="s">
        <v>200</v>
      </c>
      <c r="F52" s="213" t="s">
        <v>354</v>
      </c>
      <c r="G52" s="213" t="s">
        <v>399</v>
      </c>
      <c r="H52" s="212">
        <v>1</v>
      </c>
      <c r="I52" s="216">
        <f>H52*Table_2[[#This Row],[Área (m²)]]</f>
        <v>131.94</v>
      </c>
      <c r="J52" s="208"/>
      <c r="K52" s="208"/>
      <c r="L52" s="211"/>
      <c r="M52" s="210"/>
      <c r="N52" s="208"/>
      <c r="O52" s="209"/>
    </row>
    <row r="53" spans="1:15" ht="14.25" customHeight="1" x14ac:dyDescent="0.3">
      <c r="A53" s="215"/>
      <c r="B53" s="214" t="s">
        <v>426</v>
      </c>
      <c r="C53" s="213" t="s">
        <v>436</v>
      </c>
      <c r="D53" s="213">
        <v>7.41</v>
      </c>
      <c r="E53" s="213" t="s">
        <v>441</v>
      </c>
      <c r="F53" s="213" t="s">
        <v>354</v>
      </c>
      <c r="G53" s="213" t="s">
        <v>399</v>
      </c>
      <c r="H53" s="212">
        <v>1</v>
      </c>
      <c r="I53" s="216">
        <f>H53*Table_2[[#This Row],[Área (m²)]]</f>
        <v>7.41</v>
      </c>
      <c r="J53" s="208"/>
      <c r="K53" s="208"/>
      <c r="L53" s="211"/>
      <c r="M53" s="210"/>
      <c r="N53" s="208"/>
      <c r="O53" s="209"/>
    </row>
    <row r="54" spans="1:15" ht="14.25" customHeight="1" x14ac:dyDescent="0.3">
      <c r="A54" s="215"/>
      <c r="B54" s="214" t="s">
        <v>426</v>
      </c>
      <c r="C54" s="213" t="s">
        <v>437</v>
      </c>
      <c r="D54" s="213">
        <f>121.3-((8+3.4)*2.2)</f>
        <v>96.22</v>
      </c>
      <c r="E54" s="213" t="s">
        <v>440</v>
      </c>
      <c r="F54" s="213" t="s">
        <v>354</v>
      </c>
      <c r="G54" s="213" t="s">
        <v>213</v>
      </c>
      <c r="H54" s="212">
        <v>1</v>
      </c>
      <c r="I54" s="216">
        <f>H54*Table_2[[#This Row],[Área (m²)]]</f>
        <v>96.22</v>
      </c>
      <c r="J54" s="208"/>
      <c r="K54" s="208"/>
      <c r="L54" s="211"/>
      <c r="M54" s="210"/>
      <c r="N54" s="208"/>
      <c r="O54" s="209"/>
    </row>
    <row r="55" spans="1:15" ht="14.25" customHeight="1" x14ac:dyDescent="0.3">
      <c r="A55" s="215"/>
      <c r="B55" s="214" t="s">
        <v>426</v>
      </c>
      <c r="C55" s="213" t="s">
        <v>356</v>
      </c>
      <c r="D55" s="213">
        <f>(8*2+2.2*2)*1.3+8*2.2+(3.4*2+2.2*2)*0.3+3.4*2.2</f>
        <v>54.960000000000008</v>
      </c>
      <c r="E55" s="213" t="s">
        <v>326</v>
      </c>
      <c r="F55" s="213" t="s">
        <v>354</v>
      </c>
      <c r="G55" s="213" t="s">
        <v>213</v>
      </c>
      <c r="H55" s="212">
        <v>1</v>
      </c>
      <c r="I55" s="216">
        <f>H55*Table_2[[#This Row],[Área (m²)]]</f>
        <v>54.960000000000008</v>
      </c>
      <c r="J55" s="208"/>
      <c r="K55" s="208"/>
      <c r="L55" s="211"/>
      <c r="M55" s="210"/>
      <c r="N55" s="208"/>
      <c r="O55" s="209"/>
    </row>
    <row r="56" spans="1:15" ht="14.25" customHeight="1" x14ac:dyDescent="0.3">
      <c r="A56" s="215"/>
      <c r="B56" s="214" t="s">
        <v>426</v>
      </c>
      <c r="C56" s="213" t="s">
        <v>385</v>
      </c>
      <c r="D56" s="213">
        <f>17.12+1.2*18*0.18</f>
        <v>21.007999999999999</v>
      </c>
      <c r="E56" s="213" t="s">
        <v>343</v>
      </c>
      <c r="F56" s="213" t="s">
        <v>354</v>
      </c>
      <c r="G56" s="213" t="s">
        <v>196</v>
      </c>
      <c r="H56" s="212">
        <v>1</v>
      </c>
      <c r="I56" s="216">
        <f>H56*Table_2[[#This Row],[Área (m²)]]</f>
        <v>21.007999999999999</v>
      </c>
      <c r="J56" s="208"/>
      <c r="K56" s="208"/>
      <c r="L56" s="211"/>
      <c r="M56" s="210"/>
      <c r="N56" s="208"/>
      <c r="O56" s="209"/>
    </row>
    <row r="57" spans="1:15" ht="14.25" customHeight="1" x14ac:dyDescent="0.3">
      <c r="A57" s="215"/>
      <c r="B57" s="214" t="s">
        <v>426</v>
      </c>
      <c r="C57" s="213" t="s">
        <v>507</v>
      </c>
      <c r="D57" s="213">
        <v>328.34</v>
      </c>
      <c r="E57" s="213" t="s">
        <v>213</v>
      </c>
      <c r="F57" s="213" t="s">
        <v>353</v>
      </c>
      <c r="G57" s="213" t="s">
        <v>506</v>
      </c>
      <c r="H57" s="212">
        <v>1</v>
      </c>
      <c r="I57" s="216">
        <f>H57*Table_2[[#This Row],[Área (m²)]]</f>
        <v>328.34</v>
      </c>
      <c r="J57" s="208"/>
      <c r="K57" s="208"/>
      <c r="L57" s="211"/>
      <c r="M57" s="210"/>
      <c r="N57" s="208"/>
      <c r="O57" s="209"/>
    </row>
    <row r="58" spans="1:15" ht="14.25" customHeight="1" x14ac:dyDescent="0.3">
      <c r="A58" s="215"/>
      <c r="B58" s="214" t="s">
        <v>446</v>
      </c>
      <c r="C58" s="213" t="s">
        <v>442</v>
      </c>
      <c r="D58" s="213">
        <v>19.149999999999999</v>
      </c>
      <c r="E58" s="213" t="s">
        <v>200</v>
      </c>
      <c r="F58" s="213" t="s">
        <v>354</v>
      </c>
      <c r="G58" s="213" t="s">
        <v>399</v>
      </c>
      <c r="H58" s="212">
        <v>2</v>
      </c>
      <c r="I58" s="216">
        <f>H58*Table_2[[#This Row],[Área (m²)]]</f>
        <v>38.299999999999997</v>
      </c>
      <c r="J58" s="208"/>
      <c r="K58" s="208"/>
      <c r="L58" s="211"/>
      <c r="M58" s="210"/>
      <c r="N58" s="208"/>
      <c r="O58" s="209"/>
    </row>
    <row r="59" spans="1:15" ht="14.25" customHeight="1" x14ac:dyDescent="0.3">
      <c r="A59" s="215"/>
      <c r="B59" s="214" t="s">
        <v>446</v>
      </c>
      <c r="C59" s="213" t="s">
        <v>445</v>
      </c>
      <c r="D59" s="213">
        <v>7.99</v>
      </c>
      <c r="E59" s="213" t="s">
        <v>200</v>
      </c>
      <c r="F59" s="213" t="s">
        <v>354</v>
      </c>
      <c r="G59" s="213" t="s">
        <v>399</v>
      </c>
      <c r="H59" s="212">
        <v>2</v>
      </c>
      <c r="I59" s="216">
        <f>H59*Table_2[[#This Row],[Área (m²)]]</f>
        <v>15.98</v>
      </c>
      <c r="J59" s="208"/>
      <c r="K59" s="208"/>
      <c r="L59" s="211"/>
      <c r="M59" s="210"/>
      <c r="N59" s="208"/>
      <c r="O59" s="209"/>
    </row>
    <row r="60" spans="1:15" ht="14.25" customHeight="1" x14ac:dyDescent="0.3">
      <c r="A60" s="215"/>
      <c r="B60" s="214" t="s">
        <v>446</v>
      </c>
      <c r="C60" s="213" t="s">
        <v>392</v>
      </c>
      <c r="D60" s="213">
        <v>10.02</v>
      </c>
      <c r="E60" s="213" t="s">
        <v>389</v>
      </c>
      <c r="F60" s="213" t="s">
        <v>354</v>
      </c>
      <c r="G60" s="213" t="s">
        <v>399</v>
      </c>
      <c r="H60" s="212">
        <v>2</v>
      </c>
      <c r="I60" s="216">
        <f>H60*Table_2[[#This Row],[Área (m²)]]</f>
        <v>20.04</v>
      </c>
      <c r="J60" s="208"/>
      <c r="K60" s="208"/>
      <c r="L60" s="211"/>
      <c r="M60" s="210"/>
      <c r="N60" s="208"/>
      <c r="O60" s="209"/>
    </row>
    <row r="61" spans="1:15" ht="14.25" customHeight="1" x14ac:dyDescent="0.3">
      <c r="A61" s="215"/>
      <c r="B61" s="214" t="s">
        <v>446</v>
      </c>
      <c r="C61" s="213" t="s">
        <v>393</v>
      </c>
      <c r="D61" s="213">
        <v>8.15</v>
      </c>
      <c r="E61" s="213" t="s">
        <v>389</v>
      </c>
      <c r="F61" s="213" t="s">
        <v>354</v>
      </c>
      <c r="G61" s="213" t="s">
        <v>399</v>
      </c>
      <c r="H61" s="212">
        <v>2</v>
      </c>
      <c r="I61" s="216">
        <f>H61*Table_2[[#This Row],[Área (m²)]]</f>
        <v>16.3</v>
      </c>
      <c r="J61" s="208"/>
      <c r="K61" s="208"/>
      <c r="L61" s="211"/>
      <c r="M61" s="210"/>
      <c r="N61" s="208"/>
      <c r="O61" s="209"/>
    </row>
    <row r="62" spans="1:15" ht="14.25" customHeight="1" x14ac:dyDescent="0.3">
      <c r="A62" s="215"/>
      <c r="B62" s="214" t="s">
        <v>446</v>
      </c>
      <c r="C62" s="213" t="s">
        <v>443</v>
      </c>
      <c r="D62" s="213">
        <v>3.39</v>
      </c>
      <c r="E62" s="213" t="s">
        <v>200</v>
      </c>
      <c r="F62" s="213" t="s">
        <v>354</v>
      </c>
      <c r="G62" s="213" t="s">
        <v>399</v>
      </c>
      <c r="H62" s="212">
        <v>2</v>
      </c>
      <c r="I62" s="216">
        <f>H62*Table_2[[#This Row],[Área (m²)]]</f>
        <v>6.78</v>
      </c>
      <c r="J62" s="208"/>
      <c r="K62" s="208"/>
      <c r="L62" s="211"/>
      <c r="M62" s="210"/>
      <c r="N62" s="208"/>
      <c r="O62" s="209"/>
    </row>
    <row r="63" spans="1:15" ht="14.25" customHeight="1" x14ac:dyDescent="0.3">
      <c r="A63" s="215"/>
      <c r="B63" s="214" t="s">
        <v>446</v>
      </c>
      <c r="C63" s="213" t="s">
        <v>444</v>
      </c>
      <c r="D63" s="213">
        <v>2.75</v>
      </c>
      <c r="E63" s="213" t="s">
        <v>200</v>
      </c>
      <c r="F63" s="213" t="s">
        <v>354</v>
      </c>
      <c r="G63" s="213" t="s">
        <v>399</v>
      </c>
      <c r="H63" s="212">
        <v>2</v>
      </c>
      <c r="I63" s="216">
        <f>H63*Table_2[[#This Row],[Área (m²)]]</f>
        <v>5.5</v>
      </c>
      <c r="J63" s="208"/>
      <c r="K63" s="208"/>
      <c r="L63" s="211"/>
      <c r="M63" s="210"/>
      <c r="N63" s="208"/>
      <c r="O63" s="209"/>
    </row>
    <row r="64" spans="1:15" ht="14.25" customHeight="1" x14ac:dyDescent="0.3">
      <c r="A64" s="215"/>
      <c r="B64" s="214" t="s">
        <v>446</v>
      </c>
      <c r="C64" s="213" t="s">
        <v>388</v>
      </c>
      <c r="D64" s="213">
        <v>3.13</v>
      </c>
      <c r="E64" s="213" t="s">
        <v>200</v>
      </c>
      <c r="F64" s="213" t="s">
        <v>354</v>
      </c>
      <c r="G64" s="213" t="s">
        <v>506</v>
      </c>
      <c r="H64" s="212">
        <v>2</v>
      </c>
      <c r="I64" s="216">
        <f>H64*Table_2[[#This Row],[Área (m²)]]</f>
        <v>6.26</v>
      </c>
      <c r="J64" s="208"/>
      <c r="K64" s="208"/>
      <c r="L64" s="211"/>
      <c r="M64" s="210"/>
      <c r="N64" s="208"/>
      <c r="O64" s="209"/>
    </row>
    <row r="65" spans="1:15" ht="14.25" customHeight="1" x14ac:dyDescent="0.3">
      <c r="A65" s="215"/>
      <c r="B65" s="214" t="s">
        <v>446</v>
      </c>
      <c r="C65" s="213" t="s">
        <v>7</v>
      </c>
      <c r="D65" s="213">
        <v>6.26</v>
      </c>
      <c r="E65" s="213" t="s">
        <v>343</v>
      </c>
      <c r="F65" s="213" t="s">
        <v>354</v>
      </c>
      <c r="G65" s="213" t="s">
        <v>196</v>
      </c>
      <c r="H65" s="212">
        <v>2</v>
      </c>
      <c r="I65" s="216">
        <f>H65*Table_2[[#This Row],[Área (m²)]]</f>
        <v>12.52</v>
      </c>
      <c r="J65" s="208"/>
      <c r="K65" s="208"/>
      <c r="L65" s="211"/>
      <c r="M65" s="210"/>
      <c r="N65" s="208"/>
      <c r="O65" s="209"/>
    </row>
    <row r="66" spans="1:15" ht="14.25" customHeight="1" x14ac:dyDescent="0.3">
      <c r="A66" s="215"/>
      <c r="B66" s="214" t="s">
        <v>447</v>
      </c>
      <c r="C66" s="213" t="s">
        <v>442</v>
      </c>
      <c r="D66" s="213">
        <v>30.45</v>
      </c>
      <c r="E66" s="213" t="s">
        <v>200</v>
      </c>
      <c r="F66" s="213" t="s">
        <v>354</v>
      </c>
      <c r="G66" s="213" t="s">
        <v>399</v>
      </c>
      <c r="H66" s="212">
        <v>1</v>
      </c>
      <c r="I66" s="216">
        <f>H66*Table_2[[#This Row],[Área (m²)]]</f>
        <v>30.45</v>
      </c>
      <c r="J66" s="208"/>
      <c r="K66" s="208"/>
      <c r="L66" s="211"/>
      <c r="M66" s="210"/>
      <c r="N66" s="208"/>
      <c r="O66" s="209"/>
    </row>
    <row r="67" spans="1:15" ht="14.25" customHeight="1" x14ac:dyDescent="0.3">
      <c r="A67" s="215"/>
      <c r="B67" s="214" t="s">
        <v>447</v>
      </c>
      <c r="C67" s="213" t="s">
        <v>390</v>
      </c>
      <c r="D67" s="213">
        <v>14.98</v>
      </c>
      <c r="E67" s="213" t="s">
        <v>389</v>
      </c>
      <c r="F67" s="213" t="s">
        <v>354</v>
      </c>
      <c r="G67" s="213" t="s">
        <v>399</v>
      </c>
      <c r="H67" s="212">
        <v>1</v>
      </c>
      <c r="I67" s="216">
        <f>H67*Table_2[[#This Row],[Área (m²)]]</f>
        <v>14.98</v>
      </c>
      <c r="J67" s="208"/>
      <c r="K67" s="208"/>
      <c r="L67" s="211"/>
      <c r="M67" s="210"/>
      <c r="N67" s="208"/>
      <c r="O67" s="209"/>
    </row>
    <row r="68" spans="1:15" ht="14.25" customHeight="1" x14ac:dyDescent="0.3">
      <c r="A68" s="215"/>
      <c r="B68" s="214" t="s">
        <v>447</v>
      </c>
      <c r="C68" s="213" t="s">
        <v>391</v>
      </c>
      <c r="D68" s="213">
        <v>12.01</v>
      </c>
      <c r="E68" s="213" t="s">
        <v>389</v>
      </c>
      <c r="F68" s="213" t="s">
        <v>354</v>
      </c>
      <c r="G68" s="213" t="s">
        <v>399</v>
      </c>
      <c r="H68" s="212">
        <v>1</v>
      </c>
      <c r="I68" s="216">
        <f>H68*Table_2[[#This Row],[Área (m²)]]</f>
        <v>12.01</v>
      </c>
      <c r="J68" s="208"/>
      <c r="K68" s="208"/>
      <c r="L68" s="211"/>
      <c r="M68" s="210"/>
      <c r="N68" s="208"/>
      <c r="O68" s="209"/>
    </row>
    <row r="69" spans="1:15" ht="14.25" customHeight="1" x14ac:dyDescent="0.3">
      <c r="A69" s="215"/>
      <c r="B69" s="214" t="s">
        <v>447</v>
      </c>
      <c r="C69" s="213" t="s">
        <v>443</v>
      </c>
      <c r="D69" s="213">
        <v>3.56</v>
      </c>
      <c r="E69" s="213" t="s">
        <v>200</v>
      </c>
      <c r="F69" s="213" t="s">
        <v>354</v>
      </c>
      <c r="G69" s="213" t="s">
        <v>399</v>
      </c>
      <c r="H69" s="212">
        <v>1</v>
      </c>
      <c r="I69" s="216">
        <f>H69*Table_2[[#This Row],[Área (m²)]]</f>
        <v>3.56</v>
      </c>
      <c r="J69" s="208"/>
      <c r="K69" s="208"/>
      <c r="L69" s="211"/>
      <c r="M69" s="210"/>
      <c r="N69" s="208"/>
      <c r="O69" s="209"/>
    </row>
    <row r="70" spans="1:15" ht="14.25" customHeight="1" x14ac:dyDescent="0.3">
      <c r="A70" s="215"/>
      <c r="B70" s="214" t="s">
        <v>447</v>
      </c>
      <c r="C70" s="213" t="s">
        <v>444</v>
      </c>
      <c r="D70" s="213">
        <v>3.16</v>
      </c>
      <c r="E70" s="213" t="s">
        <v>200</v>
      </c>
      <c r="F70" s="213" t="s">
        <v>354</v>
      </c>
      <c r="G70" s="213" t="s">
        <v>399</v>
      </c>
      <c r="H70" s="212">
        <v>1</v>
      </c>
      <c r="I70" s="216">
        <f>H70*Table_2[[#This Row],[Área (m²)]]</f>
        <v>3.16</v>
      </c>
      <c r="J70" s="208"/>
      <c r="K70" s="208"/>
      <c r="L70" s="211"/>
      <c r="M70" s="210"/>
      <c r="N70" s="208"/>
      <c r="O70" s="209"/>
    </row>
    <row r="71" spans="1:15" ht="14.25" customHeight="1" x14ac:dyDescent="0.3">
      <c r="A71" s="215"/>
      <c r="B71" s="214" t="s">
        <v>447</v>
      </c>
      <c r="C71" s="213" t="s">
        <v>438</v>
      </c>
      <c r="D71" s="213">
        <v>2.29</v>
      </c>
      <c r="E71" s="213" t="s">
        <v>200</v>
      </c>
      <c r="F71" s="213" t="s">
        <v>354</v>
      </c>
      <c r="G71" s="213" t="s">
        <v>399</v>
      </c>
      <c r="H71" s="212">
        <v>1</v>
      </c>
      <c r="I71" s="216">
        <f>H71*Table_2[[#This Row],[Área (m²)]]</f>
        <v>2.29</v>
      </c>
      <c r="J71" s="208"/>
      <c r="K71" s="208"/>
      <c r="L71" s="211"/>
      <c r="M71" s="210"/>
      <c r="N71" s="208"/>
      <c r="O71" s="209"/>
    </row>
    <row r="72" spans="1:15" ht="14.25" customHeight="1" x14ac:dyDescent="0.3">
      <c r="A72" s="215"/>
      <c r="B72" s="214" t="s">
        <v>447</v>
      </c>
      <c r="C72" s="213" t="s">
        <v>388</v>
      </c>
      <c r="D72" s="213">
        <v>4.2300000000000004</v>
      </c>
      <c r="E72" s="213" t="s">
        <v>200</v>
      </c>
      <c r="F72" s="213" t="s">
        <v>354</v>
      </c>
      <c r="G72" s="213" t="s">
        <v>506</v>
      </c>
      <c r="H72" s="212">
        <v>1</v>
      </c>
      <c r="I72" s="216">
        <f>H72*Table_2[[#This Row],[Área (m²)]]</f>
        <v>4.2300000000000004</v>
      </c>
      <c r="J72" s="208"/>
      <c r="K72" s="208"/>
      <c r="L72" s="211"/>
      <c r="M72" s="210"/>
      <c r="N72" s="208"/>
      <c r="O72" s="209"/>
    </row>
    <row r="73" spans="1:15" ht="14.25" customHeight="1" x14ac:dyDescent="0.3">
      <c r="A73" s="215"/>
      <c r="B73" s="214" t="s">
        <v>447</v>
      </c>
      <c r="C73" s="213" t="s">
        <v>7</v>
      </c>
      <c r="D73" s="213">
        <v>1.71</v>
      </c>
      <c r="E73" s="213" t="s">
        <v>343</v>
      </c>
      <c r="F73" s="213" t="s">
        <v>354</v>
      </c>
      <c r="G73" s="213" t="s">
        <v>196</v>
      </c>
      <c r="H73" s="212">
        <v>1</v>
      </c>
      <c r="I73" s="216">
        <f>H73*Table_2[[#This Row],[Área (m²)]]</f>
        <v>1.71</v>
      </c>
      <c r="J73" s="208"/>
      <c r="K73" s="208"/>
      <c r="L73" s="211"/>
      <c r="M73" s="210"/>
      <c r="N73" s="208"/>
      <c r="O73" s="209"/>
    </row>
    <row r="74" spans="1:15" ht="14.25" customHeight="1" x14ac:dyDescent="0.3">
      <c r="A74" s="215"/>
      <c r="B74" s="214" t="s">
        <v>448</v>
      </c>
      <c r="C74" s="213" t="s">
        <v>442</v>
      </c>
      <c r="D74" s="213">
        <v>21.83</v>
      </c>
      <c r="E74" s="213" t="s">
        <v>200</v>
      </c>
      <c r="F74" s="213" t="s">
        <v>354</v>
      </c>
      <c r="G74" s="213" t="s">
        <v>399</v>
      </c>
      <c r="H74" s="212">
        <v>1</v>
      </c>
      <c r="I74" s="216">
        <f>H74*Table_2[[#This Row],[Área (m²)]]</f>
        <v>21.83</v>
      </c>
      <c r="J74" s="208"/>
      <c r="K74" s="208"/>
      <c r="L74" s="211"/>
      <c r="M74" s="210"/>
      <c r="N74" s="208"/>
      <c r="O74" s="209"/>
    </row>
    <row r="75" spans="1:15" ht="14.25" customHeight="1" x14ac:dyDescent="0.3">
      <c r="A75" s="215"/>
      <c r="B75" s="214" t="s">
        <v>448</v>
      </c>
      <c r="C75" s="213" t="s">
        <v>445</v>
      </c>
      <c r="D75" s="213">
        <v>9.5</v>
      </c>
      <c r="E75" s="213" t="s">
        <v>200</v>
      </c>
      <c r="F75" s="213" t="s">
        <v>354</v>
      </c>
      <c r="G75" s="213" t="s">
        <v>399</v>
      </c>
      <c r="H75" s="212">
        <v>1</v>
      </c>
      <c r="I75" s="216">
        <f>H75*Table_2[[#This Row],[Área (m²)]]</f>
        <v>9.5</v>
      </c>
      <c r="J75" s="208"/>
      <c r="K75" s="208"/>
      <c r="L75" s="211"/>
      <c r="M75" s="210"/>
      <c r="N75" s="208"/>
      <c r="O75" s="209"/>
    </row>
    <row r="76" spans="1:15" ht="14.25" customHeight="1" x14ac:dyDescent="0.3">
      <c r="A76" s="215"/>
      <c r="B76" s="214" t="s">
        <v>448</v>
      </c>
      <c r="C76" s="213" t="s">
        <v>449</v>
      </c>
      <c r="D76" s="213">
        <v>12.68</v>
      </c>
      <c r="E76" s="213" t="s">
        <v>389</v>
      </c>
      <c r="F76" s="213" t="s">
        <v>354</v>
      </c>
      <c r="G76" s="213" t="s">
        <v>399</v>
      </c>
      <c r="H76" s="212">
        <v>1</v>
      </c>
      <c r="I76" s="216">
        <f>H76*Table_2[[#This Row],[Área (m²)]]</f>
        <v>12.68</v>
      </c>
      <c r="J76" s="208"/>
      <c r="K76" s="208"/>
      <c r="L76" s="211"/>
      <c r="M76" s="210"/>
      <c r="N76" s="208"/>
      <c r="O76" s="209"/>
    </row>
    <row r="77" spans="1:15" ht="14.25" customHeight="1" x14ac:dyDescent="0.3">
      <c r="A77" s="215"/>
      <c r="B77" s="214" t="s">
        <v>448</v>
      </c>
      <c r="C77" s="213" t="s">
        <v>387</v>
      </c>
      <c r="D77" s="213">
        <v>10.07</v>
      </c>
      <c r="E77" s="213" t="s">
        <v>389</v>
      </c>
      <c r="F77" s="213" t="s">
        <v>354</v>
      </c>
      <c r="G77" s="213" t="s">
        <v>399</v>
      </c>
      <c r="H77" s="212">
        <v>1</v>
      </c>
      <c r="I77" s="216">
        <f>H77*Table_2[[#This Row],[Área (m²)]]</f>
        <v>10.07</v>
      </c>
      <c r="J77" s="208"/>
      <c r="K77" s="208"/>
      <c r="L77" s="211"/>
      <c r="M77" s="210"/>
      <c r="N77" s="208"/>
      <c r="O77" s="209"/>
    </row>
    <row r="78" spans="1:15" ht="14.25" customHeight="1" x14ac:dyDescent="0.3">
      <c r="A78" s="215"/>
      <c r="B78" s="214" t="s">
        <v>448</v>
      </c>
      <c r="C78" s="213" t="s">
        <v>450</v>
      </c>
      <c r="D78" s="213">
        <v>3.18</v>
      </c>
      <c r="E78" s="213" t="s">
        <v>200</v>
      </c>
      <c r="F78" s="213" t="s">
        <v>354</v>
      </c>
      <c r="G78" s="213" t="s">
        <v>399</v>
      </c>
      <c r="H78" s="212">
        <v>1</v>
      </c>
      <c r="I78" s="216">
        <f>H78*Table_2[[#This Row],[Área (m²)]]</f>
        <v>3.18</v>
      </c>
      <c r="J78" s="208"/>
      <c r="K78" s="208"/>
      <c r="L78" s="211"/>
      <c r="M78" s="210"/>
      <c r="N78" s="208"/>
      <c r="O78" s="209"/>
    </row>
    <row r="79" spans="1:15" ht="14.25" customHeight="1" x14ac:dyDescent="0.3">
      <c r="A79" s="215"/>
      <c r="B79" s="214" t="s">
        <v>448</v>
      </c>
      <c r="C79" s="213" t="s">
        <v>424</v>
      </c>
      <c r="D79" s="213">
        <v>2.93</v>
      </c>
      <c r="E79" s="213" t="s">
        <v>200</v>
      </c>
      <c r="F79" s="213" t="s">
        <v>354</v>
      </c>
      <c r="G79" s="213" t="s">
        <v>399</v>
      </c>
      <c r="H79" s="212">
        <v>1</v>
      </c>
      <c r="I79" s="216">
        <f>H79*Table_2[[#This Row],[Área (m²)]]</f>
        <v>2.93</v>
      </c>
      <c r="J79" s="208"/>
      <c r="K79" s="208"/>
      <c r="L79" s="211"/>
      <c r="M79" s="210"/>
      <c r="N79" s="208"/>
      <c r="O79" s="209"/>
    </row>
    <row r="80" spans="1:15" ht="14.25" customHeight="1" x14ac:dyDescent="0.3">
      <c r="A80" s="215"/>
      <c r="B80" s="214" t="s">
        <v>448</v>
      </c>
      <c r="C80" s="213" t="s">
        <v>388</v>
      </c>
      <c r="D80" s="213">
        <v>4.1100000000000003</v>
      </c>
      <c r="E80" s="213" t="s">
        <v>200</v>
      </c>
      <c r="F80" s="213" t="s">
        <v>354</v>
      </c>
      <c r="G80" s="213" t="s">
        <v>506</v>
      </c>
      <c r="H80" s="212">
        <v>1</v>
      </c>
      <c r="I80" s="216">
        <f>H80*Table_2[[#This Row],[Área (m²)]]</f>
        <v>4.1100000000000003</v>
      </c>
      <c r="J80" s="208"/>
      <c r="K80" s="208"/>
      <c r="L80" s="211"/>
      <c r="M80" s="210"/>
      <c r="N80" s="208"/>
      <c r="O80" s="209"/>
    </row>
    <row r="81" spans="1:15" ht="14.25" customHeight="1" x14ac:dyDescent="0.3">
      <c r="A81" s="215"/>
      <c r="B81" s="214" t="s">
        <v>448</v>
      </c>
      <c r="C81" s="213" t="s">
        <v>451</v>
      </c>
      <c r="D81" s="213">
        <v>22.36</v>
      </c>
      <c r="E81" s="213" t="s">
        <v>213</v>
      </c>
      <c r="F81" s="213" t="s">
        <v>354</v>
      </c>
      <c r="G81" s="213" t="s">
        <v>213</v>
      </c>
      <c r="H81" s="212">
        <v>1</v>
      </c>
      <c r="I81" s="216">
        <f>H81*Table_2[[#This Row],[Área (m²)]]</f>
        <v>22.36</v>
      </c>
      <c r="J81" s="208"/>
      <c r="K81" s="208"/>
      <c r="L81" s="211"/>
      <c r="M81" s="210"/>
      <c r="N81" s="208"/>
      <c r="O81" s="209"/>
    </row>
    <row r="82" spans="1:15" ht="14.25" customHeight="1" x14ac:dyDescent="0.3">
      <c r="A82" s="215"/>
      <c r="B82" s="214" t="s">
        <v>448</v>
      </c>
      <c r="C82" s="213" t="s">
        <v>7</v>
      </c>
      <c r="D82" s="213">
        <v>1.48</v>
      </c>
      <c r="E82" s="213" t="s">
        <v>343</v>
      </c>
      <c r="F82" s="213" t="s">
        <v>354</v>
      </c>
      <c r="G82" s="213" t="s">
        <v>196</v>
      </c>
      <c r="H82" s="212">
        <v>1</v>
      </c>
      <c r="I82" s="216">
        <f>H82*Table_2[[#This Row],[Área (m²)]]</f>
        <v>1.48</v>
      </c>
      <c r="J82" s="208"/>
      <c r="K82" s="208"/>
      <c r="L82" s="211"/>
      <c r="M82" s="210"/>
      <c r="N82" s="208"/>
      <c r="O82" s="209"/>
    </row>
    <row r="83" spans="1:15" ht="14.25" customHeight="1" x14ac:dyDescent="0.3">
      <c r="A83" s="215"/>
      <c r="B83" s="214" t="s">
        <v>452</v>
      </c>
      <c r="C83" s="213" t="s">
        <v>442</v>
      </c>
      <c r="D83" s="213">
        <v>26.08</v>
      </c>
      <c r="E83" s="213" t="s">
        <v>200</v>
      </c>
      <c r="F83" s="213" t="s">
        <v>354</v>
      </c>
      <c r="G83" s="213" t="s">
        <v>399</v>
      </c>
      <c r="H83" s="212">
        <v>1</v>
      </c>
      <c r="I83" s="216">
        <f>H83*Table_2[[#This Row],[Área (m²)]]</f>
        <v>26.08</v>
      </c>
      <c r="J83" s="208"/>
      <c r="K83" s="208"/>
      <c r="L83" s="211"/>
      <c r="M83" s="210"/>
      <c r="N83" s="208"/>
      <c r="O83" s="209"/>
    </row>
    <row r="84" spans="1:15" ht="14.25" customHeight="1" x14ac:dyDescent="0.3">
      <c r="A84" s="215"/>
      <c r="B84" s="214" t="s">
        <v>452</v>
      </c>
      <c r="C84" s="213" t="s">
        <v>445</v>
      </c>
      <c r="D84" s="213">
        <v>6.45</v>
      </c>
      <c r="E84" s="213" t="s">
        <v>200</v>
      </c>
      <c r="F84" s="213" t="s">
        <v>354</v>
      </c>
      <c r="G84" s="213" t="s">
        <v>399</v>
      </c>
      <c r="H84" s="212">
        <v>1</v>
      </c>
      <c r="I84" s="216">
        <f>H84*Table_2[[#This Row],[Área (m²)]]</f>
        <v>6.45</v>
      </c>
      <c r="J84" s="208"/>
      <c r="K84" s="208"/>
      <c r="L84" s="211"/>
      <c r="M84" s="210"/>
      <c r="N84" s="208"/>
      <c r="O84" s="209"/>
    </row>
    <row r="85" spans="1:15" ht="14.25" customHeight="1" x14ac:dyDescent="0.3">
      <c r="A85" s="215"/>
      <c r="B85" s="214" t="s">
        <v>452</v>
      </c>
      <c r="C85" s="213" t="s">
        <v>453</v>
      </c>
      <c r="D85" s="213">
        <v>2.12</v>
      </c>
      <c r="E85" s="213" t="s">
        <v>200</v>
      </c>
      <c r="F85" s="213" t="s">
        <v>354</v>
      </c>
      <c r="G85" s="213" t="s">
        <v>399</v>
      </c>
      <c r="H85" s="212">
        <v>1</v>
      </c>
      <c r="I85" s="216">
        <f>H85*Table_2[[#This Row],[Área (m²)]]</f>
        <v>2.12</v>
      </c>
      <c r="J85" s="208"/>
      <c r="K85" s="208"/>
      <c r="L85" s="211"/>
      <c r="M85" s="210"/>
      <c r="N85" s="208"/>
      <c r="O85" s="209"/>
    </row>
    <row r="86" spans="1:15" ht="14.25" customHeight="1" x14ac:dyDescent="0.3">
      <c r="A86" s="215"/>
      <c r="B86" s="214" t="s">
        <v>452</v>
      </c>
      <c r="C86" s="213" t="s">
        <v>355</v>
      </c>
      <c r="D86" s="213">
        <v>1.29</v>
      </c>
      <c r="E86" s="213" t="s">
        <v>389</v>
      </c>
      <c r="F86" s="213" t="s">
        <v>354</v>
      </c>
      <c r="G86" s="213" t="s">
        <v>399</v>
      </c>
      <c r="H86" s="212">
        <v>1</v>
      </c>
      <c r="I86" s="216">
        <f>H86*Table_2[[#This Row],[Área (m²)]]</f>
        <v>1.29</v>
      </c>
      <c r="J86" s="208"/>
      <c r="K86" s="208"/>
      <c r="L86" s="211"/>
      <c r="M86" s="210"/>
      <c r="N86" s="208"/>
      <c r="O86" s="209"/>
    </row>
    <row r="87" spans="1:15" ht="14.25" customHeight="1" x14ac:dyDescent="0.3">
      <c r="A87" s="215"/>
      <c r="B87" s="214" t="s">
        <v>452</v>
      </c>
      <c r="C87" s="213" t="s">
        <v>390</v>
      </c>
      <c r="D87" s="213">
        <v>12.91</v>
      </c>
      <c r="E87" s="213" t="s">
        <v>389</v>
      </c>
      <c r="F87" s="213" t="s">
        <v>354</v>
      </c>
      <c r="G87" s="213" t="s">
        <v>399</v>
      </c>
      <c r="H87" s="212">
        <v>1</v>
      </c>
      <c r="I87" s="216">
        <f>H87*Table_2[[#This Row],[Área (m²)]]</f>
        <v>12.91</v>
      </c>
      <c r="J87" s="208"/>
      <c r="K87" s="208"/>
      <c r="L87" s="211"/>
      <c r="M87" s="210"/>
      <c r="N87" s="208"/>
      <c r="O87" s="209"/>
    </row>
    <row r="88" spans="1:15" ht="14.25" customHeight="1" x14ac:dyDescent="0.3">
      <c r="A88" s="215"/>
      <c r="B88" s="214" t="s">
        <v>452</v>
      </c>
      <c r="C88" s="213" t="s">
        <v>391</v>
      </c>
      <c r="D88" s="213">
        <v>10</v>
      </c>
      <c r="E88" s="213" t="s">
        <v>389</v>
      </c>
      <c r="F88" s="213" t="s">
        <v>354</v>
      </c>
      <c r="G88" s="213" t="s">
        <v>399</v>
      </c>
      <c r="H88" s="212">
        <v>1</v>
      </c>
      <c r="I88" s="216">
        <f>H88*Table_2[[#This Row],[Área (m²)]]</f>
        <v>10</v>
      </c>
      <c r="J88" s="208"/>
      <c r="K88" s="208"/>
      <c r="L88" s="211"/>
      <c r="M88" s="210"/>
      <c r="N88" s="208"/>
      <c r="O88" s="209"/>
    </row>
    <row r="89" spans="1:15" ht="14.25" customHeight="1" x14ac:dyDescent="0.3">
      <c r="A89" s="215"/>
      <c r="B89" s="214" t="s">
        <v>452</v>
      </c>
      <c r="C89" s="213" t="s">
        <v>443</v>
      </c>
      <c r="D89" s="213">
        <v>3.43</v>
      </c>
      <c r="E89" s="213" t="s">
        <v>200</v>
      </c>
      <c r="F89" s="213" t="s">
        <v>354</v>
      </c>
      <c r="G89" s="213" t="s">
        <v>399</v>
      </c>
      <c r="H89" s="212">
        <v>1</v>
      </c>
      <c r="I89" s="216">
        <f>H89*Table_2[[#This Row],[Área (m²)]]</f>
        <v>3.43</v>
      </c>
      <c r="J89" s="208"/>
      <c r="K89" s="208"/>
      <c r="L89" s="211"/>
      <c r="M89" s="210"/>
      <c r="N89" s="208"/>
      <c r="O89" s="209"/>
    </row>
    <row r="90" spans="1:15" ht="14.25" customHeight="1" x14ac:dyDescent="0.3">
      <c r="A90" s="215"/>
      <c r="B90" s="214" t="s">
        <v>452</v>
      </c>
      <c r="C90" s="213" t="s">
        <v>444</v>
      </c>
      <c r="D90" s="213">
        <v>3.01</v>
      </c>
      <c r="E90" s="213" t="s">
        <v>200</v>
      </c>
      <c r="F90" s="213" t="s">
        <v>354</v>
      </c>
      <c r="G90" s="213" t="s">
        <v>399</v>
      </c>
      <c r="H90" s="212">
        <v>1</v>
      </c>
      <c r="I90" s="216">
        <f>H90*Table_2[[#This Row],[Área (m²)]]</f>
        <v>3.01</v>
      </c>
      <c r="J90" s="208"/>
      <c r="K90" s="208"/>
      <c r="L90" s="211"/>
      <c r="M90" s="210"/>
      <c r="N90" s="208"/>
      <c r="O90" s="209"/>
    </row>
    <row r="91" spans="1:15" ht="14.25" customHeight="1" x14ac:dyDescent="0.3">
      <c r="A91" s="215"/>
      <c r="B91" s="214" t="s">
        <v>452</v>
      </c>
      <c r="C91" s="213" t="s">
        <v>388</v>
      </c>
      <c r="D91" s="213">
        <v>7.19</v>
      </c>
      <c r="E91" s="213" t="s">
        <v>200</v>
      </c>
      <c r="F91" s="213" t="s">
        <v>354</v>
      </c>
      <c r="G91" s="213" t="s">
        <v>506</v>
      </c>
      <c r="H91" s="212">
        <v>1</v>
      </c>
      <c r="I91" s="216">
        <f>H91*Table_2[[#This Row],[Área (m²)]]</f>
        <v>7.19</v>
      </c>
      <c r="J91" s="208"/>
      <c r="K91" s="208"/>
      <c r="L91" s="211"/>
      <c r="M91" s="210"/>
      <c r="N91" s="208"/>
      <c r="O91" s="209"/>
    </row>
    <row r="92" spans="1:15" ht="14.25" customHeight="1" x14ac:dyDescent="0.3">
      <c r="A92" s="215"/>
      <c r="B92" s="214" t="s">
        <v>452</v>
      </c>
      <c r="C92" s="213" t="s">
        <v>7</v>
      </c>
      <c r="D92" s="213">
        <v>3.35</v>
      </c>
      <c r="E92" s="213" t="s">
        <v>343</v>
      </c>
      <c r="F92" s="213" t="s">
        <v>354</v>
      </c>
      <c r="G92" s="213" t="s">
        <v>196</v>
      </c>
      <c r="H92" s="212">
        <v>1</v>
      </c>
      <c r="I92" s="216">
        <f>H92*Table_2[[#This Row],[Área (m²)]]</f>
        <v>3.35</v>
      </c>
      <c r="J92" s="208"/>
      <c r="K92" s="208"/>
      <c r="L92" s="211"/>
      <c r="M92" s="210"/>
      <c r="N92" s="208"/>
      <c r="O92" s="209"/>
    </row>
    <row r="93" spans="1:15" ht="14.25" customHeight="1" x14ac:dyDescent="0.3">
      <c r="A93" s="215"/>
      <c r="B93" s="214" t="s">
        <v>454</v>
      </c>
      <c r="C93" s="213" t="s">
        <v>442</v>
      </c>
      <c r="D93" s="213">
        <v>22</v>
      </c>
      <c r="E93" s="213" t="s">
        <v>200</v>
      </c>
      <c r="F93" s="213" t="s">
        <v>354</v>
      </c>
      <c r="G93" s="213" t="s">
        <v>399</v>
      </c>
      <c r="H93" s="212">
        <v>1</v>
      </c>
      <c r="I93" s="216">
        <f>H93*Table_2[[#This Row],[Área (m²)]]</f>
        <v>22</v>
      </c>
      <c r="J93" s="208"/>
      <c r="K93" s="208"/>
      <c r="L93" s="211"/>
      <c r="M93" s="210"/>
      <c r="N93" s="208"/>
      <c r="O93" s="209"/>
    </row>
    <row r="94" spans="1:15" ht="14.25" customHeight="1" x14ac:dyDescent="0.3">
      <c r="A94" s="215"/>
      <c r="B94" s="214" t="s">
        <v>454</v>
      </c>
      <c r="C94" s="213" t="s">
        <v>445</v>
      </c>
      <c r="D94" s="213">
        <v>6.21</v>
      </c>
      <c r="E94" s="213" t="s">
        <v>200</v>
      </c>
      <c r="F94" s="213" t="s">
        <v>354</v>
      </c>
      <c r="G94" s="213" t="s">
        <v>399</v>
      </c>
      <c r="H94" s="212">
        <v>1</v>
      </c>
      <c r="I94" s="216">
        <f>H94*Table_2[[#This Row],[Área (m²)]]</f>
        <v>6.21</v>
      </c>
      <c r="J94" s="208"/>
      <c r="K94" s="208"/>
      <c r="L94" s="211"/>
      <c r="M94" s="210"/>
      <c r="N94" s="208"/>
      <c r="O94" s="209"/>
    </row>
    <row r="95" spans="1:15" ht="14.25" customHeight="1" x14ac:dyDescent="0.3">
      <c r="A95" s="215"/>
      <c r="B95" s="214" t="s">
        <v>454</v>
      </c>
      <c r="C95" s="213" t="s">
        <v>449</v>
      </c>
      <c r="D95" s="213">
        <v>9.27</v>
      </c>
      <c r="E95" s="213" t="s">
        <v>389</v>
      </c>
      <c r="F95" s="213" t="s">
        <v>354</v>
      </c>
      <c r="G95" s="213" t="s">
        <v>399</v>
      </c>
      <c r="H95" s="212">
        <v>1</v>
      </c>
      <c r="I95" s="216">
        <f>H95*Table_2[[#This Row],[Área (m²)]]</f>
        <v>9.27</v>
      </c>
      <c r="J95" s="208"/>
      <c r="K95" s="208"/>
      <c r="L95" s="211"/>
      <c r="M95" s="210"/>
      <c r="N95" s="208"/>
      <c r="O95" s="209"/>
    </row>
    <row r="96" spans="1:15" ht="14.25" customHeight="1" x14ac:dyDescent="0.3">
      <c r="A96" s="215"/>
      <c r="B96" s="214" t="s">
        <v>454</v>
      </c>
      <c r="C96" s="213" t="s">
        <v>387</v>
      </c>
      <c r="D96" s="213">
        <v>12.84</v>
      </c>
      <c r="E96" s="213" t="s">
        <v>389</v>
      </c>
      <c r="F96" s="213" t="s">
        <v>354</v>
      </c>
      <c r="G96" s="213" t="s">
        <v>399</v>
      </c>
      <c r="H96" s="212">
        <v>1</v>
      </c>
      <c r="I96" s="216">
        <f>H96*Table_2[[#This Row],[Área (m²)]]</f>
        <v>12.84</v>
      </c>
      <c r="J96" s="208"/>
      <c r="K96" s="208"/>
      <c r="L96" s="211"/>
      <c r="M96" s="210"/>
      <c r="N96" s="208"/>
      <c r="O96" s="209"/>
    </row>
    <row r="97" spans="1:15" ht="14.25" customHeight="1" x14ac:dyDescent="0.3">
      <c r="A97" s="215"/>
      <c r="B97" s="214" t="s">
        <v>454</v>
      </c>
      <c r="C97" s="213" t="s">
        <v>450</v>
      </c>
      <c r="D97" s="213">
        <v>3.19</v>
      </c>
      <c r="E97" s="213" t="s">
        <v>200</v>
      </c>
      <c r="F97" s="213" t="s">
        <v>354</v>
      </c>
      <c r="G97" s="213" t="s">
        <v>399</v>
      </c>
      <c r="H97" s="212">
        <v>1</v>
      </c>
      <c r="I97" s="216">
        <f>H97*Table_2[[#This Row],[Área (m²)]]</f>
        <v>3.19</v>
      </c>
      <c r="J97" s="208"/>
      <c r="K97" s="208"/>
      <c r="L97" s="211"/>
      <c r="M97" s="210"/>
      <c r="N97" s="208"/>
      <c r="O97" s="209"/>
    </row>
    <row r="98" spans="1:15" ht="14.25" customHeight="1" x14ac:dyDescent="0.3">
      <c r="A98" s="215"/>
      <c r="B98" s="214" t="s">
        <v>454</v>
      </c>
      <c r="C98" s="213" t="s">
        <v>424</v>
      </c>
      <c r="D98" s="213">
        <v>3.46</v>
      </c>
      <c r="E98" s="213" t="s">
        <v>200</v>
      </c>
      <c r="F98" s="213" t="s">
        <v>354</v>
      </c>
      <c r="G98" s="213" t="s">
        <v>399</v>
      </c>
      <c r="H98" s="212">
        <v>1</v>
      </c>
      <c r="I98" s="216">
        <f>H98*Table_2[[#This Row],[Área (m²)]]</f>
        <v>3.46</v>
      </c>
      <c r="J98" s="208"/>
      <c r="K98" s="208"/>
      <c r="L98" s="211"/>
      <c r="M98" s="210"/>
      <c r="N98" s="208"/>
      <c r="O98" s="209"/>
    </row>
    <row r="99" spans="1:15" ht="14.25" customHeight="1" x14ac:dyDescent="0.3">
      <c r="A99" s="215"/>
      <c r="B99" s="214" t="s">
        <v>454</v>
      </c>
      <c r="C99" s="213" t="s">
        <v>388</v>
      </c>
      <c r="D99" s="213">
        <v>4.33</v>
      </c>
      <c r="E99" s="213" t="s">
        <v>200</v>
      </c>
      <c r="F99" s="213" t="s">
        <v>354</v>
      </c>
      <c r="G99" s="213" t="s">
        <v>506</v>
      </c>
      <c r="H99" s="212">
        <v>1</v>
      </c>
      <c r="I99" s="216">
        <f>H99*Table_2[[#This Row],[Área (m²)]]</f>
        <v>4.33</v>
      </c>
      <c r="J99" s="208"/>
      <c r="K99" s="208"/>
      <c r="L99" s="211"/>
      <c r="M99" s="210"/>
      <c r="N99" s="208"/>
      <c r="O99" s="209"/>
    </row>
    <row r="100" spans="1:15" ht="14.25" customHeight="1" x14ac:dyDescent="0.3">
      <c r="A100" s="215"/>
      <c r="B100" s="214" t="s">
        <v>454</v>
      </c>
      <c r="C100" s="213" t="s">
        <v>7</v>
      </c>
      <c r="D100" s="213">
        <v>0.46</v>
      </c>
      <c r="E100" s="213" t="s">
        <v>343</v>
      </c>
      <c r="F100" s="213" t="s">
        <v>354</v>
      </c>
      <c r="G100" s="213" t="s">
        <v>196</v>
      </c>
      <c r="H100" s="212">
        <v>1</v>
      </c>
      <c r="I100" s="216">
        <f>H100*Table_2[[#This Row],[Área (m²)]]</f>
        <v>0.46</v>
      </c>
      <c r="J100" s="208"/>
      <c r="K100" s="208"/>
      <c r="L100" s="211"/>
      <c r="M100" s="210"/>
      <c r="N100" s="208"/>
      <c r="O100" s="209"/>
    </row>
    <row r="101" spans="1:15" ht="14.25" customHeight="1" x14ac:dyDescent="0.3">
      <c r="A101" s="215"/>
      <c r="B101" s="214" t="s">
        <v>455</v>
      </c>
      <c r="C101" s="213" t="s">
        <v>442</v>
      </c>
      <c r="D101" s="213">
        <v>24.79</v>
      </c>
      <c r="E101" s="213" t="s">
        <v>200</v>
      </c>
      <c r="F101" s="213" t="s">
        <v>354</v>
      </c>
      <c r="G101" s="213" t="s">
        <v>399</v>
      </c>
      <c r="H101" s="212">
        <v>2</v>
      </c>
      <c r="I101" s="216">
        <f>H101*Table_2[[#This Row],[Área (m²)]]</f>
        <v>49.58</v>
      </c>
      <c r="J101" s="208"/>
      <c r="K101" s="208"/>
      <c r="L101" s="211"/>
      <c r="M101" s="210"/>
      <c r="N101" s="208"/>
      <c r="O101" s="209"/>
    </row>
    <row r="102" spans="1:15" ht="14.25" customHeight="1" x14ac:dyDescent="0.3">
      <c r="A102" s="215"/>
      <c r="B102" s="214" t="s">
        <v>455</v>
      </c>
      <c r="C102" s="213" t="s">
        <v>445</v>
      </c>
      <c r="D102" s="213">
        <v>6.75</v>
      </c>
      <c r="E102" s="213" t="s">
        <v>200</v>
      </c>
      <c r="F102" s="213" t="s">
        <v>354</v>
      </c>
      <c r="G102" s="213" t="s">
        <v>399</v>
      </c>
      <c r="H102" s="212">
        <v>2</v>
      </c>
      <c r="I102" s="216">
        <f>H102*Table_2[[#This Row],[Área (m²)]]</f>
        <v>13.5</v>
      </c>
      <c r="J102" s="208"/>
      <c r="K102" s="208"/>
      <c r="L102" s="211"/>
      <c r="M102" s="210"/>
      <c r="N102" s="208"/>
      <c r="O102" s="209"/>
    </row>
    <row r="103" spans="1:15" ht="14.25" customHeight="1" x14ac:dyDescent="0.3">
      <c r="A103" s="215"/>
      <c r="B103" s="214" t="s">
        <v>455</v>
      </c>
      <c r="C103" s="213" t="s">
        <v>453</v>
      </c>
      <c r="D103" s="213">
        <v>2.42</v>
      </c>
      <c r="E103" s="213" t="s">
        <v>200</v>
      </c>
      <c r="F103" s="213" t="s">
        <v>354</v>
      </c>
      <c r="G103" s="213" t="s">
        <v>399</v>
      </c>
      <c r="H103" s="212">
        <v>2</v>
      </c>
      <c r="I103" s="216">
        <f>H103*Table_2[[#This Row],[Área (m²)]]</f>
        <v>4.84</v>
      </c>
      <c r="J103" s="208"/>
      <c r="K103" s="208"/>
      <c r="L103" s="211"/>
      <c r="M103" s="210"/>
      <c r="N103" s="208"/>
      <c r="O103" s="209"/>
    </row>
    <row r="104" spans="1:15" ht="14.25" customHeight="1" x14ac:dyDescent="0.3">
      <c r="A104" s="215"/>
      <c r="B104" s="214" t="s">
        <v>455</v>
      </c>
      <c r="C104" s="213" t="s">
        <v>438</v>
      </c>
      <c r="D104" s="213">
        <v>2.4300000000000002</v>
      </c>
      <c r="E104" s="213" t="s">
        <v>200</v>
      </c>
      <c r="F104" s="213" t="s">
        <v>354</v>
      </c>
      <c r="G104" s="213" t="s">
        <v>399</v>
      </c>
      <c r="H104" s="212">
        <v>2</v>
      </c>
      <c r="I104" s="216">
        <f>H104*Table_2[[#This Row],[Área (m²)]]</f>
        <v>4.8600000000000003</v>
      </c>
      <c r="J104" s="208"/>
      <c r="K104" s="208"/>
      <c r="L104" s="211"/>
      <c r="M104" s="210"/>
      <c r="N104" s="208"/>
      <c r="O104" s="209"/>
    </row>
    <row r="105" spans="1:15" ht="14.25" customHeight="1" x14ac:dyDescent="0.3">
      <c r="A105" s="215"/>
      <c r="B105" s="214" t="s">
        <v>455</v>
      </c>
      <c r="C105" s="213" t="s">
        <v>390</v>
      </c>
      <c r="D105" s="213">
        <v>14.98</v>
      </c>
      <c r="E105" s="213" t="s">
        <v>389</v>
      </c>
      <c r="F105" s="213" t="s">
        <v>354</v>
      </c>
      <c r="G105" s="213" t="s">
        <v>399</v>
      </c>
      <c r="H105" s="212">
        <v>2</v>
      </c>
      <c r="I105" s="216">
        <f>H105*Table_2[[#This Row],[Área (m²)]]</f>
        <v>29.96</v>
      </c>
      <c r="J105" s="208"/>
      <c r="K105" s="208"/>
      <c r="L105" s="211"/>
      <c r="M105" s="210"/>
      <c r="N105" s="208"/>
      <c r="O105" s="209"/>
    </row>
    <row r="106" spans="1:15" ht="14.25" customHeight="1" x14ac:dyDescent="0.3">
      <c r="A106" s="215"/>
      <c r="B106" s="214" t="s">
        <v>455</v>
      </c>
      <c r="C106" s="213" t="s">
        <v>391</v>
      </c>
      <c r="D106" s="213">
        <v>12.08</v>
      </c>
      <c r="E106" s="213" t="s">
        <v>389</v>
      </c>
      <c r="F106" s="213" t="s">
        <v>354</v>
      </c>
      <c r="G106" s="213" t="s">
        <v>399</v>
      </c>
      <c r="H106" s="212">
        <v>2</v>
      </c>
      <c r="I106" s="216">
        <f>H106*Table_2[[#This Row],[Área (m²)]]</f>
        <v>24.16</v>
      </c>
      <c r="J106" s="208"/>
      <c r="K106" s="208"/>
      <c r="L106" s="211"/>
      <c r="M106" s="210"/>
      <c r="N106" s="208"/>
      <c r="O106" s="209"/>
    </row>
    <row r="107" spans="1:15" ht="14.25" customHeight="1" x14ac:dyDescent="0.3">
      <c r="A107" s="215"/>
      <c r="B107" s="214" t="s">
        <v>455</v>
      </c>
      <c r="C107" s="213" t="s">
        <v>443</v>
      </c>
      <c r="D107" s="213">
        <v>3.3</v>
      </c>
      <c r="E107" s="213" t="s">
        <v>200</v>
      </c>
      <c r="F107" s="213" t="s">
        <v>354</v>
      </c>
      <c r="G107" s="213" t="s">
        <v>399</v>
      </c>
      <c r="H107" s="212">
        <v>2</v>
      </c>
      <c r="I107" s="216">
        <f>H107*Table_2[[#This Row],[Área (m²)]]</f>
        <v>6.6</v>
      </c>
      <c r="J107" s="208"/>
      <c r="K107" s="208"/>
      <c r="L107" s="211"/>
      <c r="M107" s="210"/>
      <c r="N107" s="208"/>
      <c r="O107" s="209"/>
    </row>
    <row r="108" spans="1:15" ht="14.25" customHeight="1" x14ac:dyDescent="0.3">
      <c r="A108" s="215"/>
      <c r="B108" s="214" t="s">
        <v>455</v>
      </c>
      <c r="C108" s="213" t="s">
        <v>444</v>
      </c>
      <c r="D108" s="213">
        <v>2.89</v>
      </c>
      <c r="E108" s="213" t="s">
        <v>200</v>
      </c>
      <c r="F108" s="213" t="s">
        <v>354</v>
      </c>
      <c r="G108" s="213" t="s">
        <v>399</v>
      </c>
      <c r="H108" s="212">
        <v>2</v>
      </c>
      <c r="I108" s="216">
        <f>H108*Table_2[[#This Row],[Área (m²)]]</f>
        <v>5.78</v>
      </c>
      <c r="J108" s="208"/>
      <c r="K108" s="208"/>
      <c r="L108" s="211"/>
      <c r="M108" s="210"/>
      <c r="N108" s="208"/>
      <c r="O108" s="209"/>
    </row>
    <row r="109" spans="1:15" ht="14.25" customHeight="1" x14ac:dyDescent="0.3">
      <c r="A109" s="215"/>
      <c r="B109" s="214" t="s">
        <v>455</v>
      </c>
      <c r="C109" s="213" t="s">
        <v>388</v>
      </c>
      <c r="D109" s="213">
        <v>4.38</v>
      </c>
      <c r="E109" s="213" t="s">
        <v>200</v>
      </c>
      <c r="F109" s="213" t="s">
        <v>354</v>
      </c>
      <c r="G109" s="213" t="s">
        <v>506</v>
      </c>
      <c r="H109" s="212">
        <v>2</v>
      </c>
      <c r="I109" s="216">
        <f>H109*Table_2[[#This Row],[Área (m²)]]</f>
        <v>8.76</v>
      </c>
      <c r="J109" s="208"/>
      <c r="K109" s="208"/>
      <c r="L109" s="211"/>
      <c r="M109" s="210"/>
      <c r="N109" s="208"/>
      <c r="O109" s="209"/>
    </row>
    <row r="110" spans="1:15" ht="14.25" customHeight="1" x14ac:dyDescent="0.3">
      <c r="A110" s="215"/>
      <c r="B110" s="214" t="s">
        <v>455</v>
      </c>
      <c r="C110" s="213" t="s">
        <v>7</v>
      </c>
      <c r="D110" s="213">
        <v>1.48</v>
      </c>
      <c r="E110" s="213" t="s">
        <v>343</v>
      </c>
      <c r="F110" s="213" t="s">
        <v>354</v>
      </c>
      <c r="G110" s="213" t="s">
        <v>196</v>
      </c>
      <c r="H110" s="212">
        <v>2</v>
      </c>
      <c r="I110" s="216">
        <f>H110*Table_2[[#This Row],[Área (m²)]]</f>
        <v>2.96</v>
      </c>
      <c r="J110" s="208"/>
      <c r="K110" s="208"/>
      <c r="L110" s="211"/>
      <c r="M110" s="210"/>
      <c r="N110" s="208"/>
      <c r="O110" s="209"/>
    </row>
    <row r="111" spans="1:15" ht="14.25" customHeight="1" x14ac:dyDescent="0.3">
      <c r="A111" s="215"/>
      <c r="B111" s="214" t="s">
        <v>458</v>
      </c>
      <c r="C111" s="213" t="s">
        <v>442</v>
      </c>
      <c r="D111" s="213">
        <v>25.41</v>
      </c>
      <c r="E111" s="213" t="s">
        <v>200</v>
      </c>
      <c r="F111" s="213" t="s">
        <v>354</v>
      </c>
      <c r="G111" s="213" t="s">
        <v>399</v>
      </c>
      <c r="H111" s="212">
        <v>2</v>
      </c>
      <c r="I111" s="216">
        <f>H111*Table_2[[#This Row],[Área (m²)]]</f>
        <v>50.82</v>
      </c>
      <c r="J111" s="208"/>
      <c r="K111" s="208"/>
      <c r="L111" s="211"/>
      <c r="M111" s="210"/>
      <c r="N111" s="208"/>
      <c r="O111" s="209"/>
    </row>
    <row r="112" spans="1:15" ht="14.25" customHeight="1" x14ac:dyDescent="0.3">
      <c r="A112" s="215"/>
      <c r="B112" s="214" t="s">
        <v>458</v>
      </c>
      <c r="C112" s="213" t="s">
        <v>445</v>
      </c>
      <c r="D112" s="213">
        <v>7.05</v>
      </c>
      <c r="E112" s="213" t="s">
        <v>200</v>
      </c>
      <c r="F112" s="213" t="s">
        <v>354</v>
      </c>
      <c r="G112" s="213" t="s">
        <v>399</v>
      </c>
      <c r="H112" s="212">
        <v>2</v>
      </c>
      <c r="I112" s="216">
        <f>H112*Table_2[[#This Row],[Área (m²)]]</f>
        <v>14.1</v>
      </c>
      <c r="J112" s="208"/>
      <c r="K112" s="208"/>
      <c r="L112" s="211"/>
      <c r="M112" s="210"/>
      <c r="N112" s="208"/>
      <c r="O112" s="209"/>
    </row>
    <row r="113" spans="1:15" ht="14.25" customHeight="1" x14ac:dyDescent="0.3">
      <c r="A113" s="215"/>
      <c r="B113" s="214" t="s">
        <v>458</v>
      </c>
      <c r="C113" s="213" t="s">
        <v>453</v>
      </c>
      <c r="D113" s="213">
        <v>3.24</v>
      </c>
      <c r="E113" s="213" t="s">
        <v>200</v>
      </c>
      <c r="F113" s="213" t="s">
        <v>354</v>
      </c>
      <c r="G113" s="213" t="s">
        <v>399</v>
      </c>
      <c r="H113" s="212">
        <v>2</v>
      </c>
      <c r="I113" s="216">
        <f>H113*Table_2[[#This Row],[Área (m²)]]</f>
        <v>6.48</v>
      </c>
      <c r="J113" s="208"/>
      <c r="K113" s="208"/>
      <c r="L113" s="211"/>
      <c r="M113" s="210"/>
      <c r="N113" s="208"/>
      <c r="O113" s="209"/>
    </row>
    <row r="114" spans="1:15" ht="14.25" customHeight="1" x14ac:dyDescent="0.3">
      <c r="A114" s="215"/>
      <c r="B114" s="214" t="s">
        <v>458</v>
      </c>
      <c r="C114" s="213" t="s">
        <v>438</v>
      </c>
      <c r="D114" s="213">
        <v>2.52</v>
      </c>
      <c r="E114" s="213" t="s">
        <v>200</v>
      </c>
      <c r="F114" s="213" t="s">
        <v>354</v>
      </c>
      <c r="G114" s="213" t="s">
        <v>399</v>
      </c>
      <c r="H114" s="212">
        <v>2</v>
      </c>
      <c r="I114" s="216">
        <f>H114*Table_2[[#This Row],[Área (m²)]]</f>
        <v>5.04</v>
      </c>
      <c r="J114" s="208"/>
      <c r="K114" s="208"/>
      <c r="L114" s="211"/>
      <c r="M114" s="210"/>
      <c r="N114" s="208"/>
      <c r="O114" s="209"/>
    </row>
    <row r="115" spans="1:15" ht="14.25" customHeight="1" x14ac:dyDescent="0.3">
      <c r="A115" s="215"/>
      <c r="B115" s="214" t="s">
        <v>458</v>
      </c>
      <c r="C115" s="213" t="s">
        <v>390</v>
      </c>
      <c r="D115" s="213">
        <v>16.5</v>
      </c>
      <c r="E115" s="213" t="s">
        <v>389</v>
      </c>
      <c r="F115" s="213" t="s">
        <v>354</v>
      </c>
      <c r="G115" s="213" t="s">
        <v>399</v>
      </c>
      <c r="H115" s="212">
        <v>2</v>
      </c>
      <c r="I115" s="216">
        <f>H115*Table_2[[#This Row],[Área (m²)]]</f>
        <v>33</v>
      </c>
      <c r="J115" s="208"/>
      <c r="K115" s="208"/>
      <c r="L115" s="211"/>
      <c r="M115" s="210"/>
      <c r="N115" s="208"/>
      <c r="O115" s="209"/>
    </row>
    <row r="116" spans="1:15" ht="14.25" customHeight="1" x14ac:dyDescent="0.3">
      <c r="A116" s="215"/>
      <c r="B116" s="214" t="s">
        <v>458</v>
      </c>
      <c r="C116" s="213" t="s">
        <v>391</v>
      </c>
      <c r="D116" s="213">
        <v>11.68</v>
      </c>
      <c r="E116" s="213" t="s">
        <v>389</v>
      </c>
      <c r="F116" s="213" t="s">
        <v>354</v>
      </c>
      <c r="G116" s="213" t="s">
        <v>399</v>
      </c>
      <c r="H116" s="212">
        <v>2</v>
      </c>
      <c r="I116" s="216">
        <f>H116*Table_2[[#This Row],[Área (m²)]]</f>
        <v>23.36</v>
      </c>
      <c r="J116" s="208"/>
      <c r="K116" s="208"/>
      <c r="L116" s="211"/>
      <c r="M116" s="210"/>
      <c r="N116" s="208"/>
      <c r="O116" s="209"/>
    </row>
    <row r="117" spans="1:15" ht="14.25" customHeight="1" x14ac:dyDescent="0.3">
      <c r="A117" s="215"/>
      <c r="B117" s="214" t="s">
        <v>458</v>
      </c>
      <c r="C117" s="213" t="s">
        <v>456</v>
      </c>
      <c r="D117" s="213">
        <v>12.06</v>
      </c>
      <c r="E117" s="213" t="s">
        <v>389</v>
      </c>
      <c r="F117" s="213" t="s">
        <v>354</v>
      </c>
      <c r="G117" s="213" t="s">
        <v>399</v>
      </c>
      <c r="H117" s="212">
        <v>2</v>
      </c>
      <c r="I117" s="216">
        <f>H117*Table_2[[#This Row],[Área (m²)]]</f>
        <v>24.12</v>
      </c>
      <c r="J117" s="208"/>
      <c r="K117" s="208"/>
      <c r="L117" s="211"/>
      <c r="M117" s="210"/>
      <c r="N117" s="208"/>
      <c r="O117" s="209"/>
    </row>
    <row r="118" spans="1:15" ht="14.25" customHeight="1" x14ac:dyDescent="0.3">
      <c r="A118" s="215"/>
      <c r="B118" s="214" t="s">
        <v>458</v>
      </c>
      <c r="C118" s="213" t="s">
        <v>443</v>
      </c>
      <c r="D118" s="213">
        <v>3.68</v>
      </c>
      <c r="E118" s="213" t="s">
        <v>200</v>
      </c>
      <c r="F118" s="213" t="s">
        <v>354</v>
      </c>
      <c r="G118" s="213" t="s">
        <v>399</v>
      </c>
      <c r="H118" s="212">
        <v>2</v>
      </c>
      <c r="I118" s="216">
        <f>H118*Table_2[[#This Row],[Área (m²)]]</f>
        <v>7.36</v>
      </c>
      <c r="J118" s="208"/>
      <c r="K118" s="208"/>
      <c r="L118" s="211"/>
      <c r="M118" s="210"/>
      <c r="N118" s="208"/>
      <c r="O118" s="209"/>
    </row>
    <row r="119" spans="1:15" ht="14.25" customHeight="1" x14ac:dyDescent="0.3">
      <c r="A119" s="215"/>
      <c r="B119" s="214" t="s">
        <v>458</v>
      </c>
      <c r="C119" s="213" t="s">
        <v>444</v>
      </c>
      <c r="D119" s="213">
        <v>3.16</v>
      </c>
      <c r="E119" s="213" t="s">
        <v>200</v>
      </c>
      <c r="F119" s="213" t="s">
        <v>354</v>
      </c>
      <c r="G119" s="213" t="s">
        <v>399</v>
      </c>
      <c r="H119" s="212">
        <v>2</v>
      </c>
      <c r="I119" s="216">
        <f>H119*Table_2[[#This Row],[Área (m²)]]</f>
        <v>6.32</v>
      </c>
      <c r="J119" s="208"/>
      <c r="K119" s="208"/>
      <c r="L119" s="211"/>
      <c r="M119" s="210"/>
      <c r="N119" s="208"/>
      <c r="O119" s="209"/>
    </row>
    <row r="120" spans="1:15" ht="14.25" customHeight="1" x14ac:dyDescent="0.3">
      <c r="A120" s="215"/>
      <c r="B120" s="214" t="s">
        <v>458</v>
      </c>
      <c r="C120" s="213" t="s">
        <v>457</v>
      </c>
      <c r="D120" s="213">
        <v>3.52</v>
      </c>
      <c r="E120" s="213" t="s">
        <v>200</v>
      </c>
      <c r="F120" s="213" t="s">
        <v>354</v>
      </c>
      <c r="G120" s="213" t="s">
        <v>399</v>
      </c>
      <c r="H120" s="212">
        <v>2</v>
      </c>
      <c r="I120" s="216">
        <f>H120*Table_2[[#This Row],[Área (m²)]]</f>
        <v>7.04</v>
      </c>
      <c r="J120" s="208"/>
      <c r="K120" s="208"/>
      <c r="L120" s="211"/>
      <c r="M120" s="210"/>
      <c r="N120" s="208"/>
      <c r="O120" s="209"/>
    </row>
    <row r="121" spans="1:15" ht="14.25" customHeight="1" x14ac:dyDescent="0.3">
      <c r="A121" s="215"/>
      <c r="B121" s="214" t="s">
        <v>458</v>
      </c>
      <c r="C121" s="213" t="s">
        <v>388</v>
      </c>
      <c r="D121" s="213">
        <v>8.2200000000000006</v>
      </c>
      <c r="E121" s="213" t="s">
        <v>200</v>
      </c>
      <c r="F121" s="213" t="s">
        <v>354</v>
      </c>
      <c r="G121" s="213" t="s">
        <v>506</v>
      </c>
      <c r="H121" s="212">
        <v>2</v>
      </c>
      <c r="I121" s="216">
        <f>H121*Table_2[[#This Row],[Área (m²)]]</f>
        <v>16.440000000000001</v>
      </c>
      <c r="J121" s="208"/>
      <c r="K121" s="208"/>
      <c r="L121" s="211"/>
      <c r="M121" s="210"/>
      <c r="N121" s="208"/>
      <c r="O121" s="209"/>
    </row>
    <row r="122" spans="1:15" ht="14.25" customHeight="1" x14ac:dyDescent="0.3">
      <c r="A122" s="215"/>
      <c r="B122" s="214" t="s">
        <v>458</v>
      </c>
      <c r="C122" s="213" t="s">
        <v>7</v>
      </c>
      <c r="D122" s="213">
        <v>0.46</v>
      </c>
      <c r="E122" s="213" t="s">
        <v>343</v>
      </c>
      <c r="F122" s="213" t="s">
        <v>354</v>
      </c>
      <c r="G122" s="213" t="s">
        <v>196</v>
      </c>
      <c r="H122" s="212">
        <v>2</v>
      </c>
      <c r="I122" s="216">
        <f>H122*Table_2[[#This Row],[Área (m²)]]</f>
        <v>0.92</v>
      </c>
      <c r="J122" s="208"/>
      <c r="K122" s="208"/>
      <c r="L122" s="211"/>
      <c r="M122" s="210"/>
      <c r="N122" s="208"/>
      <c r="O122" s="209"/>
    </row>
    <row r="123" spans="1:15" ht="14.25" customHeight="1" x14ac:dyDescent="0.3">
      <c r="A123" s="215"/>
      <c r="B123" s="214" t="s">
        <v>458</v>
      </c>
      <c r="C123" s="213" t="s">
        <v>459</v>
      </c>
      <c r="D123" s="213">
        <v>1.32</v>
      </c>
      <c r="E123" s="213" t="s">
        <v>213</v>
      </c>
      <c r="F123" s="213" t="s">
        <v>354</v>
      </c>
      <c r="G123" s="213" t="s">
        <v>506</v>
      </c>
      <c r="H123" s="212">
        <v>2</v>
      </c>
      <c r="I123" s="216">
        <f>H123*Table_2[[#This Row],[Área (m²)]]</f>
        <v>2.64</v>
      </c>
      <c r="J123" s="208"/>
      <c r="K123" s="208"/>
      <c r="L123" s="211"/>
      <c r="M123" s="210"/>
      <c r="N123" s="208"/>
      <c r="O123" s="209"/>
    </row>
    <row r="124" spans="1:15" ht="14.25" customHeight="1" x14ac:dyDescent="0.3">
      <c r="A124" s="215"/>
      <c r="B124" s="214" t="s">
        <v>460</v>
      </c>
      <c r="C124" s="213" t="s">
        <v>459</v>
      </c>
      <c r="D124" s="213">
        <v>24.3</v>
      </c>
      <c r="E124" s="213" t="s">
        <v>213</v>
      </c>
      <c r="F124" s="213" t="s">
        <v>354</v>
      </c>
      <c r="G124" s="213" t="s">
        <v>506</v>
      </c>
      <c r="H124" s="212">
        <v>1</v>
      </c>
      <c r="I124" s="216">
        <f>H124*Table_2[[#This Row],[Área (m²)]]</f>
        <v>24.3</v>
      </c>
      <c r="J124" s="208"/>
      <c r="K124" s="208"/>
      <c r="L124" s="211"/>
      <c r="M124" s="210"/>
      <c r="N124" s="208"/>
      <c r="O124" s="209"/>
    </row>
    <row r="125" spans="1:15" ht="14.25" customHeight="1" x14ac:dyDescent="0.3">
      <c r="A125" s="215"/>
      <c r="B125" s="214" t="s">
        <v>460</v>
      </c>
      <c r="C125" s="213" t="s">
        <v>385</v>
      </c>
      <c r="D125" s="213">
        <f>17.28+18*1.2*0.18</f>
        <v>21.167999999999999</v>
      </c>
      <c r="E125" s="213" t="s">
        <v>343</v>
      </c>
      <c r="F125" s="213" t="s">
        <v>354</v>
      </c>
      <c r="G125" s="213" t="s">
        <v>196</v>
      </c>
      <c r="H125" s="212">
        <v>1</v>
      </c>
      <c r="I125" s="216">
        <f>H125*Table_2[[#This Row],[Área (m²)]]</f>
        <v>21.167999999999999</v>
      </c>
      <c r="J125" s="208"/>
      <c r="K125" s="208"/>
      <c r="L125" s="211"/>
      <c r="M125" s="210"/>
      <c r="N125" s="208"/>
      <c r="O125" s="209"/>
    </row>
    <row r="126" spans="1:15" ht="14.25" customHeight="1" x14ac:dyDescent="0.3">
      <c r="A126" s="215"/>
      <c r="B126" s="214" t="s">
        <v>461</v>
      </c>
      <c r="C126" s="213" t="s">
        <v>442</v>
      </c>
      <c r="D126" s="213">
        <v>19.149999999999999</v>
      </c>
      <c r="E126" s="213" t="s">
        <v>200</v>
      </c>
      <c r="F126" s="213" t="s">
        <v>354</v>
      </c>
      <c r="G126" s="213" t="s">
        <v>399</v>
      </c>
      <c r="H126" s="212">
        <f>2*7</f>
        <v>14</v>
      </c>
      <c r="I126" s="216">
        <f>H126*Table_2[[#This Row],[Área (m²)]]</f>
        <v>268.09999999999997</v>
      </c>
      <c r="J126" s="208"/>
      <c r="K126" s="208"/>
      <c r="L126" s="211"/>
      <c r="M126" s="210"/>
      <c r="N126" s="208"/>
      <c r="O126" s="209"/>
    </row>
    <row r="127" spans="1:15" ht="14.25" customHeight="1" x14ac:dyDescent="0.3">
      <c r="A127" s="215"/>
      <c r="B127" s="214" t="s">
        <v>461</v>
      </c>
      <c r="C127" s="213" t="s">
        <v>445</v>
      </c>
      <c r="D127" s="213">
        <v>7.99</v>
      </c>
      <c r="E127" s="213" t="s">
        <v>200</v>
      </c>
      <c r="F127" s="213" t="s">
        <v>354</v>
      </c>
      <c r="G127" s="213" t="s">
        <v>399</v>
      </c>
      <c r="H127" s="212">
        <f>2*7</f>
        <v>14</v>
      </c>
      <c r="I127" s="216">
        <f>H127*Table_2[[#This Row],[Área (m²)]]</f>
        <v>111.86</v>
      </c>
      <c r="J127" s="208"/>
      <c r="K127" s="208"/>
      <c r="L127" s="211"/>
      <c r="M127" s="210"/>
      <c r="N127" s="208"/>
      <c r="O127" s="209"/>
    </row>
    <row r="128" spans="1:15" ht="14.25" customHeight="1" x14ac:dyDescent="0.3">
      <c r="A128" s="215"/>
      <c r="B128" s="214" t="s">
        <v>461</v>
      </c>
      <c r="C128" s="213" t="s">
        <v>392</v>
      </c>
      <c r="D128" s="213">
        <v>10.02</v>
      </c>
      <c r="E128" s="213" t="s">
        <v>389</v>
      </c>
      <c r="F128" s="213" t="s">
        <v>354</v>
      </c>
      <c r="G128" s="213" t="s">
        <v>399</v>
      </c>
      <c r="H128" s="212">
        <f t="shared" ref="H128:H133" si="1">2*7</f>
        <v>14</v>
      </c>
      <c r="I128" s="216">
        <f>H128*Table_2[[#This Row],[Área (m²)]]</f>
        <v>140.28</v>
      </c>
      <c r="J128" s="208"/>
      <c r="K128" s="208"/>
      <c r="L128" s="211"/>
      <c r="M128" s="210"/>
      <c r="N128" s="208"/>
      <c r="O128" s="209"/>
    </row>
    <row r="129" spans="1:15" ht="14.25" customHeight="1" x14ac:dyDescent="0.3">
      <c r="A129" s="215"/>
      <c r="B129" s="214" t="s">
        <v>461</v>
      </c>
      <c r="C129" s="213" t="s">
        <v>393</v>
      </c>
      <c r="D129" s="213">
        <v>8.15</v>
      </c>
      <c r="E129" s="213" t="s">
        <v>389</v>
      </c>
      <c r="F129" s="213" t="s">
        <v>354</v>
      </c>
      <c r="G129" s="213" t="s">
        <v>399</v>
      </c>
      <c r="H129" s="212">
        <f t="shared" si="1"/>
        <v>14</v>
      </c>
      <c r="I129" s="216">
        <f>H129*Table_2[[#This Row],[Área (m²)]]</f>
        <v>114.10000000000001</v>
      </c>
      <c r="J129" s="208"/>
      <c r="K129" s="208"/>
      <c r="L129" s="211"/>
      <c r="M129" s="210"/>
      <c r="N129" s="208"/>
      <c r="O129" s="209"/>
    </row>
    <row r="130" spans="1:15" ht="14.25" customHeight="1" x14ac:dyDescent="0.3">
      <c r="A130" s="215"/>
      <c r="B130" s="214" t="s">
        <v>461</v>
      </c>
      <c r="C130" s="213" t="s">
        <v>443</v>
      </c>
      <c r="D130" s="213">
        <v>3.39</v>
      </c>
      <c r="E130" s="213" t="s">
        <v>200</v>
      </c>
      <c r="F130" s="213" t="s">
        <v>354</v>
      </c>
      <c r="G130" s="213" t="s">
        <v>399</v>
      </c>
      <c r="H130" s="212">
        <f t="shared" si="1"/>
        <v>14</v>
      </c>
      <c r="I130" s="216">
        <f>H130*Table_2[[#This Row],[Área (m²)]]</f>
        <v>47.46</v>
      </c>
      <c r="J130" s="208"/>
      <c r="K130" s="208"/>
      <c r="L130" s="211"/>
      <c r="M130" s="210"/>
      <c r="N130" s="208"/>
      <c r="O130" s="209"/>
    </row>
    <row r="131" spans="1:15" ht="14.25" customHeight="1" x14ac:dyDescent="0.3">
      <c r="A131" s="215"/>
      <c r="B131" s="214" t="s">
        <v>461</v>
      </c>
      <c r="C131" s="213" t="s">
        <v>444</v>
      </c>
      <c r="D131" s="213">
        <v>2.75</v>
      </c>
      <c r="E131" s="213" t="s">
        <v>200</v>
      </c>
      <c r="F131" s="213" t="s">
        <v>354</v>
      </c>
      <c r="G131" s="213" t="s">
        <v>399</v>
      </c>
      <c r="H131" s="212">
        <f t="shared" si="1"/>
        <v>14</v>
      </c>
      <c r="I131" s="216">
        <f>H131*Table_2[[#This Row],[Área (m²)]]</f>
        <v>38.5</v>
      </c>
      <c r="J131" s="208"/>
      <c r="K131" s="208"/>
      <c r="L131" s="211"/>
      <c r="M131" s="210"/>
      <c r="N131" s="208"/>
      <c r="O131" s="209"/>
    </row>
    <row r="132" spans="1:15" ht="14.25" customHeight="1" x14ac:dyDescent="0.3">
      <c r="A132" s="215"/>
      <c r="B132" s="214" t="s">
        <v>461</v>
      </c>
      <c r="C132" s="213" t="s">
        <v>388</v>
      </c>
      <c r="D132" s="213">
        <v>3.13</v>
      </c>
      <c r="E132" s="213" t="s">
        <v>200</v>
      </c>
      <c r="F132" s="213" t="s">
        <v>354</v>
      </c>
      <c r="G132" s="213" t="s">
        <v>506</v>
      </c>
      <c r="H132" s="212">
        <f t="shared" si="1"/>
        <v>14</v>
      </c>
      <c r="I132" s="216">
        <f>H132*Table_2[[#This Row],[Área (m²)]]</f>
        <v>43.82</v>
      </c>
      <c r="J132" s="208"/>
      <c r="K132" s="208"/>
      <c r="L132" s="211"/>
      <c r="M132" s="210"/>
      <c r="N132" s="208"/>
      <c r="O132" s="209"/>
    </row>
    <row r="133" spans="1:15" ht="14.25" customHeight="1" x14ac:dyDescent="0.3">
      <c r="A133" s="215"/>
      <c r="B133" s="214" t="s">
        <v>461</v>
      </c>
      <c r="C133" s="213" t="s">
        <v>7</v>
      </c>
      <c r="D133" s="213">
        <v>6.26</v>
      </c>
      <c r="E133" s="213" t="s">
        <v>343</v>
      </c>
      <c r="F133" s="213" t="s">
        <v>354</v>
      </c>
      <c r="G133" s="213" t="s">
        <v>196</v>
      </c>
      <c r="H133" s="212">
        <f t="shared" si="1"/>
        <v>14</v>
      </c>
      <c r="I133" s="216">
        <f>H133*Table_2[[#This Row],[Área (m²)]]</f>
        <v>87.64</v>
      </c>
      <c r="J133" s="208"/>
      <c r="K133" s="208"/>
      <c r="L133" s="211"/>
      <c r="M133" s="210"/>
      <c r="N133" s="208"/>
      <c r="O133" s="209"/>
    </row>
    <row r="134" spans="1:15" ht="14.25" customHeight="1" x14ac:dyDescent="0.3">
      <c r="A134" s="215"/>
      <c r="B134" s="214" t="s">
        <v>461</v>
      </c>
      <c r="C134" s="213" t="s">
        <v>442</v>
      </c>
      <c r="D134" s="213">
        <v>30.45</v>
      </c>
      <c r="E134" s="213" t="s">
        <v>200</v>
      </c>
      <c r="F134" s="213" t="s">
        <v>354</v>
      </c>
      <c r="G134" s="213" t="s">
        <v>399</v>
      </c>
      <c r="H134" s="212">
        <f>1*7</f>
        <v>7</v>
      </c>
      <c r="I134" s="216">
        <f>H134*Table_2[[#This Row],[Área (m²)]]</f>
        <v>213.15</v>
      </c>
      <c r="J134" s="208"/>
      <c r="K134" s="208"/>
      <c r="L134" s="211"/>
      <c r="M134" s="210"/>
      <c r="N134" s="208"/>
      <c r="O134" s="209"/>
    </row>
    <row r="135" spans="1:15" ht="14.25" customHeight="1" x14ac:dyDescent="0.3">
      <c r="A135" s="215"/>
      <c r="B135" s="214" t="s">
        <v>461</v>
      </c>
      <c r="C135" s="213" t="s">
        <v>390</v>
      </c>
      <c r="D135" s="213">
        <v>14.98</v>
      </c>
      <c r="E135" s="213" t="s">
        <v>389</v>
      </c>
      <c r="F135" s="213" t="s">
        <v>354</v>
      </c>
      <c r="G135" s="213" t="s">
        <v>399</v>
      </c>
      <c r="H135" s="212">
        <f t="shared" ref="H135:H168" si="2">1*7</f>
        <v>7</v>
      </c>
      <c r="I135" s="216">
        <f>H135*Table_2[[#This Row],[Área (m²)]]</f>
        <v>104.86</v>
      </c>
      <c r="J135" s="208"/>
      <c r="K135" s="208"/>
      <c r="L135" s="211"/>
      <c r="M135" s="210"/>
      <c r="N135" s="208"/>
      <c r="O135" s="209"/>
    </row>
    <row r="136" spans="1:15" ht="14.25" customHeight="1" x14ac:dyDescent="0.3">
      <c r="A136" s="215"/>
      <c r="B136" s="214" t="s">
        <v>461</v>
      </c>
      <c r="C136" s="213" t="s">
        <v>391</v>
      </c>
      <c r="D136" s="213">
        <v>12.01</v>
      </c>
      <c r="E136" s="213" t="s">
        <v>389</v>
      </c>
      <c r="F136" s="213" t="s">
        <v>354</v>
      </c>
      <c r="G136" s="213" t="s">
        <v>399</v>
      </c>
      <c r="H136" s="212">
        <f t="shared" si="2"/>
        <v>7</v>
      </c>
      <c r="I136" s="216">
        <f>H136*Table_2[[#This Row],[Área (m²)]]</f>
        <v>84.07</v>
      </c>
      <c r="J136" s="208"/>
      <c r="K136" s="208"/>
      <c r="L136" s="211"/>
      <c r="M136" s="210"/>
      <c r="N136" s="208"/>
      <c r="O136" s="209"/>
    </row>
    <row r="137" spans="1:15" ht="14.25" customHeight="1" x14ac:dyDescent="0.3">
      <c r="A137" s="215"/>
      <c r="B137" s="214" t="s">
        <v>461</v>
      </c>
      <c r="C137" s="213" t="s">
        <v>443</v>
      </c>
      <c r="D137" s="213">
        <v>3.56</v>
      </c>
      <c r="E137" s="213" t="s">
        <v>200</v>
      </c>
      <c r="F137" s="213" t="s">
        <v>354</v>
      </c>
      <c r="G137" s="213" t="s">
        <v>399</v>
      </c>
      <c r="H137" s="212">
        <f t="shared" si="2"/>
        <v>7</v>
      </c>
      <c r="I137" s="216">
        <f>H137*Table_2[[#This Row],[Área (m²)]]</f>
        <v>24.92</v>
      </c>
      <c r="J137" s="208"/>
      <c r="K137" s="208"/>
      <c r="L137" s="211"/>
      <c r="M137" s="210"/>
      <c r="N137" s="208"/>
      <c r="O137" s="209"/>
    </row>
    <row r="138" spans="1:15" ht="14.25" customHeight="1" x14ac:dyDescent="0.3">
      <c r="A138" s="215"/>
      <c r="B138" s="214" t="s">
        <v>461</v>
      </c>
      <c r="C138" s="213" t="s">
        <v>444</v>
      </c>
      <c r="D138" s="213">
        <v>3.16</v>
      </c>
      <c r="E138" s="213" t="s">
        <v>200</v>
      </c>
      <c r="F138" s="213" t="s">
        <v>354</v>
      </c>
      <c r="G138" s="213" t="s">
        <v>399</v>
      </c>
      <c r="H138" s="212">
        <f t="shared" si="2"/>
        <v>7</v>
      </c>
      <c r="I138" s="216">
        <f>H138*Table_2[[#This Row],[Área (m²)]]</f>
        <v>22.12</v>
      </c>
      <c r="J138" s="208"/>
      <c r="K138" s="208"/>
      <c r="L138" s="211"/>
      <c r="M138" s="210"/>
      <c r="N138" s="208"/>
      <c r="O138" s="209"/>
    </row>
    <row r="139" spans="1:15" ht="14.25" customHeight="1" x14ac:dyDescent="0.3">
      <c r="A139" s="215"/>
      <c r="B139" s="214" t="s">
        <v>461</v>
      </c>
      <c r="C139" s="213" t="s">
        <v>438</v>
      </c>
      <c r="D139" s="213">
        <v>2.29</v>
      </c>
      <c r="E139" s="213" t="s">
        <v>200</v>
      </c>
      <c r="F139" s="213" t="s">
        <v>354</v>
      </c>
      <c r="G139" s="213" t="s">
        <v>399</v>
      </c>
      <c r="H139" s="212">
        <f t="shared" si="2"/>
        <v>7</v>
      </c>
      <c r="I139" s="216">
        <f>H139*Table_2[[#This Row],[Área (m²)]]</f>
        <v>16.03</v>
      </c>
      <c r="J139" s="208"/>
      <c r="K139" s="208"/>
      <c r="L139" s="211"/>
      <c r="M139" s="210"/>
      <c r="N139" s="208"/>
      <c r="O139" s="209"/>
    </row>
    <row r="140" spans="1:15" ht="14.25" customHeight="1" x14ac:dyDescent="0.3">
      <c r="A140" s="215"/>
      <c r="B140" s="214" t="s">
        <v>461</v>
      </c>
      <c r="C140" s="213" t="s">
        <v>388</v>
      </c>
      <c r="D140" s="213">
        <v>4.2300000000000004</v>
      </c>
      <c r="E140" s="213" t="s">
        <v>200</v>
      </c>
      <c r="F140" s="213" t="s">
        <v>354</v>
      </c>
      <c r="G140" s="213" t="s">
        <v>506</v>
      </c>
      <c r="H140" s="212">
        <f t="shared" si="2"/>
        <v>7</v>
      </c>
      <c r="I140" s="216">
        <f>H140*Table_2[[#This Row],[Área (m²)]]</f>
        <v>29.610000000000003</v>
      </c>
      <c r="J140" s="208"/>
      <c r="K140" s="208"/>
      <c r="L140" s="211"/>
      <c r="M140" s="210"/>
      <c r="N140" s="208"/>
      <c r="O140" s="209"/>
    </row>
    <row r="141" spans="1:15" ht="14.25" customHeight="1" x14ac:dyDescent="0.3">
      <c r="A141" s="215"/>
      <c r="B141" s="214" t="s">
        <v>461</v>
      </c>
      <c r="C141" s="213" t="s">
        <v>7</v>
      </c>
      <c r="D141" s="213">
        <v>1.71</v>
      </c>
      <c r="E141" s="213" t="s">
        <v>343</v>
      </c>
      <c r="F141" s="213" t="s">
        <v>354</v>
      </c>
      <c r="G141" s="213" t="s">
        <v>196</v>
      </c>
      <c r="H141" s="212">
        <f t="shared" si="2"/>
        <v>7</v>
      </c>
      <c r="I141" s="216">
        <f>H141*Table_2[[#This Row],[Área (m²)]]</f>
        <v>11.969999999999999</v>
      </c>
      <c r="J141" s="208"/>
      <c r="K141" s="208"/>
      <c r="L141" s="211"/>
      <c r="M141" s="210"/>
      <c r="N141" s="208"/>
      <c r="O141" s="209"/>
    </row>
    <row r="142" spans="1:15" ht="14.25" customHeight="1" x14ac:dyDescent="0.3">
      <c r="A142" s="215"/>
      <c r="B142" s="214" t="s">
        <v>461</v>
      </c>
      <c r="C142" s="213" t="s">
        <v>442</v>
      </c>
      <c r="D142" s="213">
        <v>21.83</v>
      </c>
      <c r="E142" s="213" t="s">
        <v>200</v>
      </c>
      <c r="F142" s="213" t="s">
        <v>354</v>
      </c>
      <c r="G142" s="213" t="s">
        <v>399</v>
      </c>
      <c r="H142" s="212">
        <f t="shared" si="2"/>
        <v>7</v>
      </c>
      <c r="I142" s="216">
        <f>H142*Table_2[[#This Row],[Área (m²)]]</f>
        <v>152.81</v>
      </c>
      <c r="J142" s="208"/>
      <c r="K142" s="208"/>
      <c r="L142" s="211"/>
      <c r="M142" s="210"/>
      <c r="N142" s="208"/>
      <c r="O142" s="209"/>
    </row>
    <row r="143" spans="1:15" ht="14.25" customHeight="1" x14ac:dyDescent="0.3">
      <c r="A143" s="215"/>
      <c r="B143" s="214" t="s">
        <v>461</v>
      </c>
      <c r="C143" s="213" t="s">
        <v>445</v>
      </c>
      <c r="D143" s="213">
        <v>9.5</v>
      </c>
      <c r="E143" s="213" t="s">
        <v>200</v>
      </c>
      <c r="F143" s="213" t="s">
        <v>354</v>
      </c>
      <c r="G143" s="213" t="s">
        <v>399</v>
      </c>
      <c r="H143" s="212">
        <f t="shared" si="2"/>
        <v>7</v>
      </c>
      <c r="I143" s="216">
        <f>H143*Table_2[[#This Row],[Área (m²)]]</f>
        <v>66.5</v>
      </c>
      <c r="J143" s="208"/>
      <c r="K143" s="208"/>
      <c r="L143" s="211"/>
      <c r="M143" s="210"/>
      <c r="N143" s="208"/>
      <c r="O143" s="209"/>
    </row>
    <row r="144" spans="1:15" ht="14.25" customHeight="1" x14ac:dyDescent="0.3">
      <c r="A144" s="215"/>
      <c r="B144" s="214" t="s">
        <v>461</v>
      </c>
      <c r="C144" s="213" t="s">
        <v>449</v>
      </c>
      <c r="D144" s="213">
        <v>12.68</v>
      </c>
      <c r="E144" s="213" t="s">
        <v>389</v>
      </c>
      <c r="F144" s="213" t="s">
        <v>354</v>
      </c>
      <c r="G144" s="213" t="s">
        <v>399</v>
      </c>
      <c r="H144" s="212">
        <f t="shared" si="2"/>
        <v>7</v>
      </c>
      <c r="I144" s="216">
        <f>H144*Table_2[[#This Row],[Área (m²)]]</f>
        <v>88.759999999999991</v>
      </c>
      <c r="J144" s="208"/>
      <c r="K144" s="208"/>
      <c r="L144" s="211"/>
      <c r="M144" s="210"/>
      <c r="N144" s="208"/>
      <c r="O144" s="209"/>
    </row>
    <row r="145" spans="1:15" ht="14.25" customHeight="1" x14ac:dyDescent="0.3">
      <c r="A145" s="215"/>
      <c r="B145" s="214" t="s">
        <v>461</v>
      </c>
      <c r="C145" s="213" t="s">
        <v>387</v>
      </c>
      <c r="D145" s="213">
        <v>10.07</v>
      </c>
      <c r="E145" s="213" t="s">
        <v>389</v>
      </c>
      <c r="F145" s="213" t="s">
        <v>354</v>
      </c>
      <c r="G145" s="213" t="s">
        <v>399</v>
      </c>
      <c r="H145" s="212">
        <f t="shared" si="2"/>
        <v>7</v>
      </c>
      <c r="I145" s="216">
        <f>H145*Table_2[[#This Row],[Área (m²)]]</f>
        <v>70.490000000000009</v>
      </c>
      <c r="J145" s="208"/>
      <c r="K145" s="208"/>
      <c r="L145" s="211"/>
      <c r="M145" s="210"/>
      <c r="N145" s="208"/>
      <c r="O145" s="209"/>
    </row>
    <row r="146" spans="1:15" ht="14.25" customHeight="1" x14ac:dyDescent="0.3">
      <c r="A146" s="215"/>
      <c r="B146" s="214" t="s">
        <v>461</v>
      </c>
      <c r="C146" s="213" t="s">
        <v>450</v>
      </c>
      <c r="D146" s="213">
        <v>3.18</v>
      </c>
      <c r="E146" s="213" t="s">
        <v>200</v>
      </c>
      <c r="F146" s="213" t="s">
        <v>354</v>
      </c>
      <c r="G146" s="213" t="s">
        <v>399</v>
      </c>
      <c r="H146" s="212">
        <f t="shared" si="2"/>
        <v>7</v>
      </c>
      <c r="I146" s="216">
        <f>H146*Table_2[[#This Row],[Área (m²)]]</f>
        <v>22.26</v>
      </c>
      <c r="J146" s="208"/>
      <c r="K146" s="208"/>
      <c r="L146" s="211"/>
      <c r="M146" s="210"/>
      <c r="N146" s="208"/>
      <c r="O146" s="209"/>
    </row>
    <row r="147" spans="1:15" ht="14.25" customHeight="1" x14ac:dyDescent="0.3">
      <c r="A147" s="215"/>
      <c r="B147" s="214" t="s">
        <v>461</v>
      </c>
      <c r="C147" s="213" t="s">
        <v>424</v>
      </c>
      <c r="D147" s="213">
        <v>2.93</v>
      </c>
      <c r="E147" s="213" t="s">
        <v>200</v>
      </c>
      <c r="F147" s="213" t="s">
        <v>354</v>
      </c>
      <c r="G147" s="213" t="s">
        <v>399</v>
      </c>
      <c r="H147" s="212">
        <f t="shared" si="2"/>
        <v>7</v>
      </c>
      <c r="I147" s="216">
        <f>H147*Table_2[[#This Row],[Área (m²)]]</f>
        <v>20.51</v>
      </c>
      <c r="J147" s="208"/>
      <c r="K147" s="208"/>
      <c r="L147" s="211"/>
      <c r="M147" s="210"/>
      <c r="N147" s="208"/>
      <c r="O147" s="209"/>
    </row>
    <row r="148" spans="1:15" ht="14.25" customHeight="1" x14ac:dyDescent="0.3">
      <c r="A148" s="215"/>
      <c r="B148" s="214" t="s">
        <v>461</v>
      </c>
      <c r="C148" s="213" t="s">
        <v>388</v>
      </c>
      <c r="D148" s="213">
        <v>4.1100000000000003</v>
      </c>
      <c r="E148" s="213" t="s">
        <v>200</v>
      </c>
      <c r="F148" s="213" t="s">
        <v>354</v>
      </c>
      <c r="G148" s="213" t="s">
        <v>506</v>
      </c>
      <c r="H148" s="212">
        <f t="shared" si="2"/>
        <v>7</v>
      </c>
      <c r="I148" s="216">
        <f>H148*Table_2[[#This Row],[Área (m²)]]</f>
        <v>28.770000000000003</v>
      </c>
      <c r="J148" s="208"/>
      <c r="K148" s="208"/>
      <c r="L148" s="211"/>
      <c r="M148" s="210"/>
      <c r="N148" s="208"/>
      <c r="O148" s="209"/>
    </row>
    <row r="149" spans="1:15" ht="14.25" customHeight="1" x14ac:dyDescent="0.3">
      <c r="A149" s="215"/>
      <c r="B149" s="214" t="s">
        <v>461</v>
      </c>
      <c r="C149" s="213" t="s">
        <v>451</v>
      </c>
      <c r="D149" s="213">
        <v>22.36</v>
      </c>
      <c r="E149" s="213" t="s">
        <v>213</v>
      </c>
      <c r="F149" s="213" t="s">
        <v>354</v>
      </c>
      <c r="G149" s="213" t="s">
        <v>213</v>
      </c>
      <c r="H149" s="212">
        <f t="shared" si="2"/>
        <v>7</v>
      </c>
      <c r="I149" s="216">
        <f>H149*Table_2[[#This Row],[Área (m²)]]</f>
        <v>156.51999999999998</v>
      </c>
      <c r="J149" s="208"/>
      <c r="K149" s="208"/>
      <c r="L149" s="211"/>
      <c r="M149" s="210"/>
      <c r="N149" s="208"/>
      <c r="O149" s="209"/>
    </row>
    <row r="150" spans="1:15" ht="14.25" customHeight="1" x14ac:dyDescent="0.3">
      <c r="A150" s="215"/>
      <c r="B150" s="214" t="s">
        <v>461</v>
      </c>
      <c r="C150" s="213" t="s">
        <v>7</v>
      </c>
      <c r="D150" s="213">
        <v>1.48</v>
      </c>
      <c r="E150" s="213" t="s">
        <v>343</v>
      </c>
      <c r="F150" s="213" t="s">
        <v>354</v>
      </c>
      <c r="G150" s="213" t="s">
        <v>196</v>
      </c>
      <c r="H150" s="212">
        <f t="shared" si="2"/>
        <v>7</v>
      </c>
      <c r="I150" s="216">
        <f>H150*Table_2[[#This Row],[Área (m²)]]</f>
        <v>10.36</v>
      </c>
      <c r="J150" s="208"/>
      <c r="K150" s="208"/>
      <c r="L150" s="211"/>
      <c r="M150" s="210"/>
      <c r="N150" s="208"/>
      <c r="O150" s="209"/>
    </row>
    <row r="151" spans="1:15" ht="14.25" customHeight="1" x14ac:dyDescent="0.3">
      <c r="A151" s="215"/>
      <c r="B151" s="214" t="s">
        <v>461</v>
      </c>
      <c r="C151" s="213" t="s">
        <v>442</v>
      </c>
      <c r="D151" s="213">
        <v>26.08</v>
      </c>
      <c r="E151" s="213" t="s">
        <v>200</v>
      </c>
      <c r="F151" s="213" t="s">
        <v>354</v>
      </c>
      <c r="G151" s="213" t="s">
        <v>399</v>
      </c>
      <c r="H151" s="212">
        <f t="shared" si="2"/>
        <v>7</v>
      </c>
      <c r="I151" s="216">
        <f>H151*Table_2[[#This Row],[Área (m²)]]</f>
        <v>182.56</v>
      </c>
      <c r="J151" s="208"/>
      <c r="K151" s="208"/>
      <c r="L151" s="211"/>
      <c r="M151" s="210"/>
      <c r="N151" s="208"/>
      <c r="O151" s="209"/>
    </row>
    <row r="152" spans="1:15" ht="14.25" customHeight="1" x14ac:dyDescent="0.3">
      <c r="A152" s="215"/>
      <c r="B152" s="214" t="s">
        <v>461</v>
      </c>
      <c r="C152" s="213" t="s">
        <v>445</v>
      </c>
      <c r="D152" s="213">
        <v>6.45</v>
      </c>
      <c r="E152" s="213" t="s">
        <v>200</v>
      </c>
      <c r="F152" s="213" t="s">
        <v>354</v>
      </c>
      <c r="G152" s="213" t="s">
        <v>399</v>
      </c>
      <c r="H152" s="212">
        <f t="shared" si="2"/>
        <v>7</v>
      </c>
      <c r="I152" s="216">
        <f>H152*Table_2[[#This Row],[Área (m²)]]</f>
        <v>45.15</v>
      </c>
      <c r="J152" s="208"/>
      <c r="K152" s="208"/>
      <c r="L152" s="211"/>
      <c r="M152" s="210"/>
      <c r="N152" s="208"/>
      <c r="O152" s="209"/>
    </row>
    <row r="153" spans="1:15" ht="14.25" customHeight="1" x14ac:dyDescent="0.3">
      <c r="A153" s="215"/>
      <c r="B153" s="214" t="s">
        <v>461</v>
      </c>
      <c r="C153" s="213" t="s">
        <v>453</v>
      </c>
      <c r="D153" s="213">
        <v>2.12</v>
      </c>
      <c r="E153" s="213" t="s">
        <v>200</v>
      </c>
      <c r="F153" s="213" t="s">
        <v>354</v>
      </c>
      <c r="G153" s="213" t="s">
        <v>399</v>
      </c>
      <c r="H153" s="212">
        <f t="shared" si="2"/>
        <v>7</v>
      </c>
      <c r="I153" s="216">
        <f>H153*Table_2[[#This Row],[Área (m²)]]</f>
        <v>14.84</v>
      </c>
      <c r="J153" s="208"/>
      <c r="K153" s="208"/>
      <c r="L153" s="211"/>
      <c r="M153" s="210"/>
      <c r="N153" s="208"/>
      <c r="O153" s="209"/>
    </row>
    <row r="154" spans="1:15" ht="14.25" customHeight="1" x14ac:dyDescent="0.3">
      <c r="A154" s="215"/>
      <c r="B154" s="214" t="s">
        <v>461</v>
      </c>
      <c r="C154" s="213" t="s">
        <v>355</v>
      </c>
      <c r="D154" s="213">
        <v>1.29</v>
      </c>
      <c r="E154" s="213" t="s">
        <v>389</v>
      </c>
      <c r="F154" s="213" t="s">
        <v>354</v>
      </c>
      <c r="G154" s="213" t="s">
        <v>399</v>
      </c>
      <c r="H154" s="212">
        <f t="shared" si="2"/>
        <v>7</v>
      </c>
      <c r="I154" s="216">
        <f>H154*Table_2[[#This Row],[Área (m²)]]</f>
        <v>9.0300000000000011</v>
      </c>
      <c r="J154" s="208"/>
      <c r="K154" s="208"/>
      <c r="L154" s="211"/>
      <c r="M154" s="210"/>
      <c r="N154" s="208"/>
      <c r="O154" s="209"/>
    </row>
    <row r="155" spans="1:15" ht="14.25" customHeight="1" x14ac:dyDescent="0.3">
      <c r="A155" s="215"/>
      <c r="B155" s="214" t="s">
        <v>461</v>
      </c>
      <c r="C155" s="213" t="s">
        <v>390</v>
      </c>
      <c r="D155" s="213">
        <v>12.91</v>
      </c>
      <c r="E155" s="213" t="s">
        <v>389</v>
      </c>
      <c r="F155" s="213" t="s">
        <v>354</v>
      </c>
      <c r="G155" s="213" t="s">
        <v>399</v>
      </c>
      <c r="H155" s="212">
        <f t="shared" si="2"/>
        <v>7</v>
      </c>
      <c r="I155" s="216">
        <f>H155*Table_2[[#This Row],[Área (m²)]]</f>
        <v>90.37</v>
      </c>
      <c r="J155" s="208"/>
      <c r="K155" s="208"/>
      <c r="L155" s="211"/>
      <c r="M155" s="210"/>
      <c r="N155" s="208"/>
      <c r="O155" s="209"/>
    </row>
    <row r="156" spans="1:15" ht="14.25" customHeight="1" x14ac:dyDescent="0.3">
      <c r="A156" s="215"/>
      <c r="B156" s="214" t="s">
        <v>461</v>
      </c>
      <c r="C156" s="213" t="s">
        <v>391</v>
      </c>
      <c r="D156" s="213">
        <v>10</v>
      </c>
      <c r="E156" s="213" t="s">
        <v>389</v>
      </c>
      <c r="F156" s="213" t="s">
        <v>354</v>
      </c>
      <c r="G156" s="213" t="s">
        <v>399</v>
      </c>
      <c r="H156" s="212">
        <f t="shared" si="2"/>
        <v>7</v>
      </c>
      <c r="I156" s="216">
        <f>H156*Table_2[[#This Row],[Área (m²)]]</f>
        <v>70</v>
      </c>
      <c r="J156" s="208"/>
      <c r="K156" s="208"/>
      <c r="L156" s="211"/>
      <c r="M156" s="210"/>
      <c r="N156" s="208"/>
      <c r="O156" s="209"/>
    </row>
    <row r="157" spans="1:15" ht="14.25" customHeight="1" x14ac:dyDescent="0.3">
      <c r="A157" s="215"/>
      <c r="B157" s="214" t="s">
        <v>461</v>
      </c>
      <c r="C157" s="213" t="s">
        <v>443</v>
      </c>
      <c r="D157" s="213">
        <v>3.43</v>
      </c>
      <c r="E157" s="213" t="s">
        <v>200</v>
      </c>
      <c r="F157" s="213" t="s">
        <v>354</v>
      </c>
      <c r="G157" s="213" t="s">
        <v>399</v>
      </c>
      <c r="H157" s="212">
        <f t="shared" si="2"/>
        <v>7</v>
      </c>
      <c r="I157" s="216">
        <f>H157*Table_2[[#This Row],[Área (m²)]]</f>
        <v>24.01</v>
      </c>
      <c r="J157" s="208"/>
      <c r="K157" s="208"/>
      <c r="L157" s="211"/>
      <c r="M157" s="210"/>
      <c r="N157" s="208"/>
      <c r="O157" s="209"/>
    </row>
    <row r="158" spans="1:15" ht="14.25" customHeight="1" x14ac:dyDescent="0.3">
      <c r="A158" s="215"/>
      <c r="B158" s="214" t="s">
        <v>461</v>
      </c>
      <c r="C158" s="213" t="s">
        <v>444</v>
      </c>
      <c r="D158" s="213">
        <v>3.01</v>
      </c>
      <c r="E158" s="213" t="s">
        <v>200</v>
      </c>
      <c r="F158" s="213" t="s">
        <v>354</v>
      </c>
      <c r="G158" s="213" t="s">
        <v>399</v>
      </c>
      <c r="H158" s="212">
        <f t="shared" si="2"/>
        <v>7</v>
      </c>
      <c r="I158" s="216">
        <f>H158*Table_2[[#This Row],[Área (m²)]]</f>
        <v>21.07</v>
      </c>
      <c r="J158" s="208"/>
      <c r="K158" s="208"/>
      <c r="L158" s="211"/>
      <c r="M158" s="210"/>
      <c r="N158" s="208"/>
      <c r="O158" s="209"/>
    </row>
    <row r="159" spans="1:15" ht="14.25" customHeight="1" x14ac:dyDescent="0.3">
      <c r="A159" s="215"/>
      <c r="B159" s="214" t="s">
        <v>461</v>
      </c>
      <c r="C159" s="213" t="s">
        <v>388</v>
      </c>
      <c r="D159" s="213">
        <v>7.19</v>
      </c>
      <c r="E159" s="213" t="s">
        <v>200</v>
      </c>
      <c r="F159" s="213" t="s">
        <v>354</v>
      </c>
      <c r="G159" s="213" t="s">
        <v>506</v>
      </c>
      <c r="H159" s="212">
        <f t="shared" si="2"/>
        <v>7</v>
      </c>
      <c r="I159" s="216">
        <f>H159*Table_2[[#This Row],[Área (m²)]]</f>
        <v>50.330000000000005</v>
      </c>
      <c r="J159" s="208"/>
      <c r="K159" s="208"/>
      <c r="L159" s="211"/>
      <c r="M159" s="210"/>
      <c r="N159" s="208"/>
      <c r="O159" s="209"/>
    </row>
    <row r="160" spans="1:15" ht="14.25" customHeight="1" x14ac:dyDescent="0.3">
      <c r="A160" s="215"/>
      <c r="B160" s="214" t="s">
        <v>461</v>
      </c>
      <c r="C160" s="213" t="s">
        <v>7</v>
      </c>
      <c r="D160" s="213">
        <v>3.35</v>
      </c>
      <c r="E160" s="213" t="s">
        <v>343</v>
      </c>
      <c r="F160" s="213" t="s">
        <v>354</v>
      </c>
      <c r="G160" s="213" t="s">
        <v>196</v>
      </c>
      <c r="H160" s="212">
        <f t="shared" si="2"/>
        <v>7</v>
      </c>
      <c r="I160" s="216">
        <f>H160*Table_2[[#This Row],[Área (m²)]]</f>
        <v>23.45</v>
      </c>
      <c r="J160" s="208"/>
      <c r="K160" s="208"/>
      <c r="L160" s="211"/>
      <c r="M160" s="210"/>
      <c r="N160" s="208"/>
      <c r="O160" s="209"/>
    </row>
    <row r="161" spans="1:15" ht="14.25" customHeight="1" x14ac:dyDescent="0.3">
      <c r="A161" s="215"/>
      <c r="B161" s="214" t="s">
        <v>461</v>
      </c>
      <c r="C161" s="213" t="s">
        <v>442</v>
      </c>
      <c r="D161" s="213">
        <v>22</v>
      </c>
      <c r="E161" s="213" t="s">
        <v>200</v>
      </c>
      <c r="F161" s="213" t="s">
        <v>354</v>
      </c>
      <c r="G161" s="213" t="s">
        <v>399</v>
      </c>
      <c r="H161" s="212">
        <f t="shared" si="2"/>
        <v>7</v>
      </c>
      <c r="I161" s="216">
        <f>H161*Table_2[[#This Row],[Área (m²)]]</f>
        <v>154</v>
      </c>
      <c r="J161" s="208"/>
      <c r="K161" s="208"/>
      <c r="L161" s="211"/>
      <c r="M161" s="210"/>
      <c r="N161" s="208"/>
      <c r="O161" s="209"/>
    </row>
    <row r="162" spans="1:15" ht="14.25" customHeight="1" x14ac:dyDescent="0.3">
      <c r="A162" s="215"/>
      <c r="B162" s="214" t="s">
        <v>461</v>
      </c>
      <c r="C162" s="213" t="s">
        <v>445</v>
      </c>
      <c r="D162" s="213">
        <v>6.21</v>
      </c>
      <c r="E162" s="213" t="s">
        <v>200</v>
      </c>
      <c r="F162" s="213" t="s">
        <v>354</v>
      </c>
      <c r="G162" s="213" t="s">
        <v>399</v>
      </c>
      <c r="H162" s="212">
        <f t="shared" si="2"/>
        <v>7</v>
      </c>
      <c r="I162" s="216">
        <f>H162*Table_2[[#This Row],[Área (m²)]]</f>
        <v>43.47</v>
      </c>
      <c r="J162" s="208"/>
      <c r="K162" s="208"/>
      <c r="L162" s="211"/>
      <c r="M162" s="210"/>
      <c r="N162" s="208"/>
      <c r="O162" s="209"/>
    </row>
    <row r="163" spans="1:15" ht="14.25" customHeight="1" x14ac:dyDescent="0.3">
      <c r="A163" s="215"/>
      <c r="B163" s="214" t="s">
        <v>461</v>
      </c>
      <c r="C163" s="213" t="s">
        <v>449</v>
      </c>
      <c r="D163" s="213">
        <v>9.27</v>
      </c>
      <c r="E163" s="213" t="s">
        <v>389</v>
      </c>
      <c r="F163" s="213" t="s">
        <v>354</v>
      </c>
      <c r="G163" s="213" t="s">
        <v>399</v>
      </c>
      <c r="H163" s="212">
        <f t="shared" si="2"/>
        <v>7</v>
      </c>
      <c r="I163" s="216">
        <f>H163*Table_2[[#This Row],[Área (m²)]]</f>
        <v>64.89</v>
      </c>
      <c r="J163" s="208"/>
      <c r="K163" s="208"/>
      <c r="L163" s="211"/>
      <c r="M163" s="210"/>
      <c r="N163" s="208"/>
      <c r="O163" s="209"/>
    </row>
    <row r="164" spans="1:15" ht="14.25" customHeight="1" x14ac:dyDescent="0.3">
      <c r="A164" s="215"/>
      <c r="B164" s="214" t="s">
        <v>461</v>
      </c>
      <c r="C164" s="213" t="s">
        <v>387</v>
      </c>
      <c r="D164" s="213">
        <v>12.84</v>
      </c>
      <c r="E164" s="213" t="s">
        <v>389</v>
      </c>
      <c r="F164" s="213" t="s">
        <v>354</v>
      </c>
      <c r="G164" s="213" t="s">
        <v>399</v>
      </c>
      <c r="H164" s="212">
        <f t="shared" si="2"/>
        <v>7</v>
      </c>
      <c r="I164" s="216">
        <f>H164*Table_2[[#This Row],[Área (m²)]]</f>
        <v>89.88</v>
      </c>
      <c r="J164" s="208"/>
      <c r="K164" s="208"/>
      <c r="L164" s="211"/>
      <c r="M164" s="210"/>
      <c r="N164" s="208"/>
      <c r="O164" s="209"/>
    </row>
    <row r="165" spans="1:15" ht="14.25" customHeight="1" x14ac:dyDescent="0.3">
      <c r="A165" s="215"/>
      <c r="B165" s="214" t="s">
        <v>461</v>
      </c>
      <c r="C165" s="213" t="s">
        <v>450</v>
      </c>
      <c r="D165" s="213">
        <v>3.19</v>
      </c>
      <c r="E165" s="213" t="s">
        <v>200</v>
      </c>
      <c r="F165" s="213" t="s">
        <v>354</v>
      </c>
      <c r="G165" s="213" t="s">
        <v>399</v>
      </c>
      <c r="H165" s="212">
        <f t="shared" si="2"/>
        <v>7</v>
      </c>
      <c r="I165" s="216">
        <f>H165*Table_2[[#This Row],[Área (m²)]]</f>
        <v>22.33</v>
      </c>
      <c r="J165" s="208"/>
      <c r="K165" s="208"/>
      <c r="L165" s="211"/>
      <c r="M165" s="210"/>
      <c r="N165" s="208"/>
      <c r="O165" s="209"/>
    </row>
    <row r="166" spans="1:15" ht="14.25" customHeight="1" x14ac:dyDescent="0.3">
      <c r="A166" s="215"/>
      <c r="B166" s="214" t="s">
        <v>461</v>
      </c>
      <c r="C166" s="213" t="s">
        <v>424</v>
      </c>
      <c r="D166" s="213">
        <v>3.46</v>
      </c>
      <c r="E166" s="213" t="s">
        <v>200</v>
      </c>
      <c r="F166" s="213" t="s">
        <v>354</v>
      </c>
      <c r="G166" s="213" t="s">
        <v>399</v>
      </c>
      <c r="H166" s="212">
        <f t="shared" si="2"/>
        <v>7</v>
      </c>
      <c r="I166" s="216">
        <f>H166*Table_2[[#This Row],[Área (m²)]]</f>
        <v>24.22</v>
      </c>
      <c r="J166" s="208"/>
      <c r="K166" s="208"/>
      <c r="L166" s="211"/>
      <c r="M166" s="210"/>
      <c r="N166" s="208"/>
      <c r="O166" s="209"/>
    </row>
    <row r="167" spans="1:15" ht="14.25" customHeight="1" x14ac:dyDescent="0.3">
      <c r="A167" s="215"/>
      <c r="B167" s="214" t="s">
        <v>461</v>
      </c>
      <c r="C167" s="213" t="s">
        <v>388</v>
      </c>
      <c r="D167" s="213">
        <v>4.33</v>
      </c>
      <c r="E167" s="213" t="s">
        <v>200</v>
      </c>
      <c r="F167" s="213" t="s">
        <v>354</v>
      </c>
      <c r="G167" s="213" t="s">
        <v>506</v>
      </c>
      <c r="H167" s="212">
        <f t="shared" si="2"/>
        <v>7</v>
      </c>
      <c r="I167" s="216">
        <f>H167*Table_2[[#This Row],[Área (m²)]]</f>
        <v>30.310000000000002</v>
      </c>
      <c r="J167" s="208"/>
      <c r="K167" s="208"/>
      <c r="L167" s="211"/>
      <c r="M167" s="210"/>
      <c r="N167" s="208"/>
      <c r="O167" s="209"/>
    </row>
    <row r="168" spans="1:15" ht="14.25" customHeight="1" x14ac:dyDescent="0.3">
      <c r="A168" s="215"/>
      <c r="B168" s="214" t="s">
        <v>461</v>
      </c>
      <c r="C168" s="213" t="s">
        <v>7</v>
      </c>
      <c r="D168" s="213">
        <v>0.46</v>
      </c>
      <c r="E168" s="213" t="s">
        <v>343</v>
      </c>
      <c r="F168" s="213" t="s">
        <v>354</v>
      </c>
      <c r="G168" s="213" t="s">
        <v>196</v>
      </c>
      <c r="H168" s="212">
        <f t="shared" si="2"/>
        <v>7</v>
      </c>
      <c r="I168" s="216">
        <f>H168*Table_2[[#This Row],[Área (m²)]]</f>
        <v>3.22</v>
      </c>
      <c r="J168" s="208"/>
      <c r="K168" s="208"/>
      <c r="L168" s="211"/>
      <c r="M168" s="210"/>
      <c r="N168" s="208"/>
      <c r="O168" s="209"/>
    </row>
    <row r="169" spans="1:15" ht="14.25" customHeight="1" x14ac:dyDescent="0.3">
      <c r="A169" s="215"/>
      <c r="B169" s="214" t="s">
        <v>461</v>
      </c>
      <c r="C169" s="213" t="s">
        <v>442</v>
      </c>
      <c r="D169" s="213">
        <v>24.79</v>
      </c>
      <c r="E169" s="213" t="s">
        <v>200</v>
      </c>
      <c r="F169" s="213" t="s">
        <v>354</v>
      </c>
      <c r="G169" s="213" t="s">
        <v>399</v>
      </c>
      <c r="H169" s="212">
        <f t="shared" ref="H169:H191" si="3">2*7</f>
        <v>14</v>
      </c>
      <c r="I169" s="216">
        <f>H169*Table_2[[#This Row],[Área (m²)]]</f>
        <v>347.06</v>
      </c>
      <c r="J169" s="208"/>
      <c r="K169" s="208"/>
      <c r="L169" s="211"/>
      <c r="M169" s="210"/>
      <c r="N169" s="208"/>
      <c r="O169" s="209"/>
    </row>
    <row r="170" spans="1:15" ht="14.25" customHeight="1" x14ac:dyDescent="0.3">
      <c r="A170" s="215"/>
      <c r="B170" s="214" t="s">
        <v>461</v>
      </c>
      <c r="C170" s="213" t="s">
        <v>445</v>
      </c>
      <c r="D170" s="213">
        <v>6.75</v>
      </c>
      <c r="E170" s="213" t="s">
        <v>200</v>
      </c>
      <c r="F170" s="213" t="s">
        <v>354</v>
      </c>
      <c r="G170" s="213" t="s">
        <v>399</v>
      </c>
      <c r="H170" s="212">
        <f t="shared" si="3"/>
        <v>14</v>
      </c>
      <c r="I170" s="216">
        <f>H170*Table_2[[#This Row],[Área (m²)]]</f>
        <v>94.5</v>
      </c>
      <c r="J170" s="208"/>
      <c r="K170" s="208"/>
      <c r="L170" s="211"/>
      <c r="M170" s="210"/>
      <c r="N170" s="208"/>
      <c r="O170" s="209"/>
    </row>
    <row r="171" spans="1:15" ht="14.25" customHeight="1" x14ac:dyDescent="0.3">
      <c r="A171" s="215"/>
      <c r="B171" s="214" t="s">
        <v>461</v>
      </c>
      <c r="C171" s="213" t="s">
        <v>453</v>
      </c>
      <c r="D171" s="213">
        <v>2.42</v>
      </c>
      <c r="E171" s="213" t="s">
        <v>200</v>
      </c>
      <c r="F171" s="213" t="s">
        <v>354</v>
      </c>
      <c r="G171" s="213" t="s">
        <v>399</v>
      </c>
      <c r="H171" s="212">
        <f t="shared" si="3"/>
        <v>14</v>
      </c>
      <c r="I171" s="216">
        <f>H171*Table_2[[#This Row],[Área (m²)]]</f>
        <v>33.879999999999995</v>
      </c>
      <c r="J171" s="208"/>
      <c r="K171" s="208"/>
      <c r="L171" s="211"/>
      <c r="M171" s="210"/>
      <c r="N171" s="208"/>
      <c r="O171" s="209"/>
    </row>
    <row r="172" spans="1:15" ht="14.25" customHeight="1" x14ac:dyDescent="0.3">
      <c r="A172" s="215"/>
      <c r="B172" s="214" t="s">
        <v>461</v>
      </c>
      <c r="C172" s="213" t="s">
        <v>438</v>
      </c>
      <c r="D172" s="213">
        <v>2.4300000000000002</v>
      </c>
      <c r="E172" s="213" t="s">
        <v>200</v>
      </c>
      <c r="F172" s="213" t="s">
        <v>354</v>
      </c>
      <c r="G172" s="213" t="s">
        <v>399</v>
      </c>
      <c r="H172" s="212">
        <f t="shared" si="3"/>
        <v>14</v>
      </c>
      <c r="I172" s="216">
        <f>H172*Table_2[[#This Row],[Área (m²)]]</f>
        <v>34.020000000000003</v>
      </c>
      <c r="J172" s="208"/>
      <c r="K172" s="208"/>
      <c r="L172" s="211"/>
      <c r="M172" s="210"/>
      <c r="N172" s="208"/>
      <c r="O172" s="209"/>
    </row>
    <row r="173" spans="1:15" ht="14.25" customHeight="1" x14ac:dyDescent="0.3">
      <c r="A173" s="215"/>
      <c r="B173" s="214" t="s">
        <v>461</v>
      </c>
      <c r="C173" s="213" t="s">
        <v>390</v>
      </c>
      <c r="D173" s="213">
        <v>14.98</v>
      </c>
      <c r="E173" s="213" t="s">
        <v>389</v>
      </c>
      <c r="F173" s="213" t="s">
        <v>354</v>
      </c>
      <c r="G173" s="213" t="s">
        <v>399</v>
      </c>
      <c r="H173" s="212">
        <f t="shared" si="3"/>
        <v>14</v>
      </c>
      <c r="I173" s="216">
        <f>H173*Table_2[[#This Row],[Área (m²)]]</f>
        <v>209.72</v>
      </c>
      <c r="J173" s="208"/>
      <c r="K173" s="208"/>
      <c r="L173" s="211"/>
      <c r="M173" s="210"/>
      <c r="N173" s="208"/>
      <c r="O173" s="209"/>
    </row>
    <row r="174" spans="1:15" ht="14.25" customHeight="1" x14ac:dyDescent="0.3">
      <c r="A174" s="215"/>
      <c r="B174" s="214" t="s">
        <v>461</v>
      </c>
      <c r="C174" s="213" t="s">
        <v>391</v>
      </c>
      <c r="D174" s="213">
        <v>12.08</v>
      </c>
      <c r="E174" s="213" t="s">
        <v>389</v>
      </c>
      <c r="F174" s="213" t="s">
        <v>354</v>
      </c>
      <c r="G174" s="213" t="s">
        <v>399</v>
      </c>
      <c r="H174" s="212">
        <f t="shared" si="3"/>
        <v>14</v>
      </c>
      <c r="I174" s="216">
        <f>H174*Table_2[[#This Row],[Área (m²)]]</f>
        <v>169.12</v>
      </c>
      <c r="J174" s="208"/>
      <c r="K174" s="208"/>
      <c r="L174" s="211"/>
      <c r="M174" s="210"/>
      <c r="N174" s="208"/>
      <c r="O174" s="209"/>
    </row>
    <row r="175" spans="1:15" ht="14.25" customHeight="1" x14ac:dyDescent="0.3">
      <c r="A175" s="215"/>
      <c r="B175" s="214" t="s">
        <v>461</v>
      </c>
      <c r="C175" s="213" t="s">
        <v>443</v>
      </c>
      <c r="D175" s="213">
        <v>3.3</v>
      </c>
      <c r="E175" s="213" t="s">
        <v>200</v>
      </c>
      <c r="F175" s="213" t="s">
        <v>354</v>
      </c>
      <c r="G175" s="213" t="s">
        <v>399</v>
      </c>
      <c r="H175" s="212">
        <f t="shared" si="3"/>
        <v>14</v>
      </c>
      <c r="I175" s="216">
        <f>H175*Table_2[[#This Row],[Área (m²)]]</f>
        <v>46.199999999999996</v>
      </c>
      <c r="J175" s="208"/>
      <c r="K175" s="208"/>
      <c r="L175" s="211"/>
      <c r="M175" s="210"/>
      <c r="N175" s="208"/>
      <c r="O175" s="209"/>
    </row>
    <row r="176" spans="1:15" ht="14.25" customHeight="1" x14ac:dyDescent="0.3">
      <c r="A176" s="215"/>
      <c r="B176" s="214" t="s">
        <v>461</v>
      </c>
      <c r="C176" s="213" t="s">
        <v>444</v>
      </c>
      <c r="D176" s="213">
        <v>2.89</v>
      </c>
      <c r="E176" s="213" t="s">
        <v>200</v>
      </c>
      <c r="F176" s="213" t="s">
        <v>354</v>
      </c>
      <c r="G176" s="213" t="s">
        <v>399</v>
      </c>
      <c r="H176" s="212">
        <f t="shared" si="3"/>
        <v>14</v>
      </c>
      <c r="I176" s="216">
        <f>H176*Table_2[[#This Row],[Área (m²)]]</f>
        <v>40.46</v>
      </c>
      <c r="J176" s="208"/>
      <c r="K176" s="208"/>
      <c r="L176" s="211"/>
      <c r="M176" s="210"/>
      <c r="N176" s="208"/>
      <c r="O176" s="209"/>
    </row>
    <row r="177" spans="1:15" ht="14.25" customHeight="1" x14ac:dyDescent="0.3">
      <c r="A177" s="215"/>
      <c r="B177" s="214" t="s">
        <v>461</v>
      </c>
      <c r="C177" s="213" t="s">
        <v>388</v>
      </c>
      <c r="D177" s="213">
        <v>4.38</v>
      </c>
      <c r="E177" s="213" t="s">
        <v>200</v>
      </c>
      <c r="F177" s="213" t="s">
        <v>354</v>
      </c>
      <c r="G177" s="213" t="s">
        <v>506</v>
      </c>
      <c r="H177" s="212">
        <f t="shared" si="3"/>
        <v>14</v>
      </c>
      <c r="I177" s="216">
        <f>H177*Table_2[[#This Row],[Área (m²)]]</f>
        <v>61.32</v>
      </c>
      <c r="J177" s="208"/>
      <c r="K177" s="208"/>
      <c r="L177" s="211"/>
      <c r="M177" s="210"/>
      <c r="N177" s="208"/>
      <c r="O177" s="209"/>
    </row>
    <row r="178" spans="1:15" ht="14.25" customHeight="1" x14ac:dyDescent="0.3">
      <c r="A178" s="215"/>
      <c r="B178" s="214" t="s">
        <v>461</v>
      </c>
      <c r="C178" s="213" t="s">
        <v>7</v>
      </c>
      <c r="D178" s="213">
        <v>1.48</v>
      </c>
      <c r="E178" s="213" t="s">
        <v>343</v>
      </c>
      <c r="F178" s="213" t="s">
        <v>354</v>
      </c>
      <c r="G178" s="213" t="s">
        <v>196</v>
      </c>
      <c r="H178" s="212">
        <f t="shared" si="3"/>
        <v>14</v>
      </c>
      <c r="I178" s="216">
        <f>H178*Table_2[[#This Row],[Área (m²)]]</f>
        <v>20.72</v>
      </c>
      <c r="J178" s="208"/>
      <c r="K178" s="208"/>
      <c r="L178" s="211"/>
      <c r="M178" s="210"/>
      <c r="N178" s="208"/>
      <c r="O178" s="209"/>
    </row>
    <row r="179" spans="1:15" ht="14.25" customHeight="1" x14ac:dyDescent="0.3">
      <c r="A179" s="215"/>
      <c r="B179" s="214" t="s">
        <v>461</v>
      </c>
      <c r="C179" s="213" t="s">
        <v>442</v>
      </c>
      <c r="D179" s="213">
        <v>25.41</v>
      </c>
      <c r="E179" s="213" t="s">
        <v>200</v>
      </c>
      <c r="F179" s="213" t="s">
        <v>354</v>
      </c>
      <c r="G179" s="213" t="s">
        <v>399</v>
      </c>
      <c r="H179" s="212">
        <f t="shared" si="3"/>
        <v>14</v>
      </c>
      <c r="I179" s="216">
        <f>H179*Table_2[[#This Row],[Área (m²)]]</f>
        <v>355.74</v>
      </c>
      <c r="J179" s="208"/>
      <c r="K179" s="208"/>
      <c r="L179" s="211"/>
      <c r="M179" s="210"/>
      <c r="N179" s="208"/>
      <c r="O179" s="209"/>
    </row>
    <row r="180" spans="1:15" ht="14.25" customHeight="1" x14ac:dyDescent="0.3">
      <c r="A180" s="215"/>
      <c r="B180" s="214" t="s">
        <v>461</v>
      </c>
      <c r="C180" s="213" t="s">
        <v>445</v>
      </c>
      <c r="D180" s="213">
        <v>7.05</v>
      </c>
      <c r="E180" s="213" t="s">
        <v>200</v>
      </c>
      <c r="F180" s="213" t="s">
        <v>354</v>
      </c>
      <c r="G180" s="213" t="s">
        <v>399</v>
      </c>
      <c r="H180" s="212">
        <f t="shared" si="3"/>
        <v>14</v>
      </c>
      <c r="I180" s="216">
        <f>H180*Table_2[[#This Row],[Área (m²)]]</f>
        <v>98.7</v>
      </c>
      <c r="J180" s="208"/>
      <c r="K180" s="208"/>
      <c r="L180" s="211"/>
      <c r="M180" s="210"/>
      <c r="N180" s="208"/>
      <c r="O180" s="209"/>
    </row>
    <row r="181" spans="1:15" ht="14.25" customHeight="1" x14ac:dyDescent="0.3">
      <c r="A181" s="215"/>
      <c r="B181" s="214" t="s">
        <v>461</v>
      </c>
      <c r="C181" s="213" t="s">
        <v>453</v>
      </c>
      <c r="D181" s="213">
        <v>3.24</v>
      </c>
      <c r="E181" s="213" t="s">
        <v>200</v>
      </c>
      <c r="F181" s="213" t="s">
        <v>354</v>
      </c>
      <c r="G181" s="213" t="s">
        <v>399</v>
      </c>
      <c r="H181" s="212">
        <f t="shared" si="3"/>
        <v>14</v>
      </c>
      <c r="I181" s="216">
        <f>H181*Table_2[[#This Row],[Área (m²)]]</f>
        <v>45.36</v>
      </c>
      <c r="J181" s="208"/>
      <c r="K181" s="208"/>
      <c r="L181" s="211"/>
      <c r="M181" s="210"/>
      <c r="N181" s="208"/>
      <c r="O181" s="209"/>
    </row>
    <row r="182" spans="1:15" ht="14.25" customHeight="1" x14ac:dyDescent="0.3">
      <c r="A182" s="215"/>
      <c r="B182" s="214" t="s">
        <v>461</v>
      </c>
      <c r="C182" s="213" t="s">
        <v>438</v>
      </c>
      <c r="D182" s="213">
        <v>2.52</v>
      </c>
      <c r="E182" s="213" t="s">
        <v>200</v>
      </c>
      <c r="F182" s="213" t="s">
        <v>354</v>
      </c>
      <c r="G182" s="213" t="s">
        <v>399</v>
      </c>
      <c r="H182" s="212">
        <f t="shared" si="3"/>
        <v>14</v>
      </c>
      <c r="I182" s="216">
        <f>H182*Table_2[[#This Row],[Área (m²)]]</f>
        <v>35.28</v>
      </c>
      <c r="J182" s="208"/>
      <c r="K182" s="208"/>
      <c r="L182" s="211"/>
      <c r="M182" s="210"/>
      <c r="N182" s="208"/>
      <c r="O182" s="209"/>
    </row>
    <row r="183" spans="1:15" ht="14.25" customHeight="1" x14ac:dyDescent="0.3">
      <c r="A183" s="215"/>
      <c r="B183" s="214" t="s">
        <v>461</v>
      </c>
      <c r="C183" s="213" t="s">
        <v>390</v>
      </c>
      <c r="D183" s="213">
        <v>16.5</v>
      </c>
      <c r="E183" s="213" t="s">
        <v>389</v>
      </c>
      <c r="F183" s="213" t="s">
        <v>354</v>
      </c>
      <c r="G183" s="213" t="s">
        <v>399</v>
      </c>
      <c r="H183" s="212">
        <f t="shared" si="3"/>
        <v>14</v>
      </c>
      <c r="I183" s="216">
        <f>H183*Table_2[[#This Row],[Área (m²)]]</f>
        <v>231</v>
      </c>
      <c r="J183" s="208"/>
      <c r="K183" s="208"/>
      <c r="L183" s="211"/>
      <c r="M183" s="210"/>
      <c r="N183" s="208"/>
      <c r="O183" s="209"/>
    </row>
    <row r="184" spans="1:15" ht="14.25" customHeight="1" x14ac:dyDescent="0.3">
      <c r="A184" s="215"/>
      <c r="B184" s="214" t="s">
        <v>461</v>
      </c>
      <c r="C184" s="213" t="s">
        <v>391</v>
      </c>
      <c r="D184" s="213">
        <v>11.68</v>
      </c>
      <c r="E184" s="213" t="s">
        <v>389</v>
      </c>
      <c r="F184" s="213" t="s">
        <v>354</v>
      </c>
      <c r="G184" s="213" t="s">
        <v>399</v>
      </c>
      <c r="H184" s="212">
        <f t="shared" si="3"/>
        <v>14</v>
      </c>
      <c r="I184" s="216">
        <f>H184*Table_2[[#This Row],[Área (m²)]]</f>
        <v>163.51999999999998</v>
      </c>
      <c r="J184" s="208"/>
      <c r="K184" s="208"/>
      <c r="L184" s="211"/>
      <c r="M184" s="210"/>
      <c r="N184" s="208"/>
      <c r="O184" s="209"/>
    </row>
    <row r="185" spans="1:15" ht="14.25" customHeight="1" x14ac:dyDescent="0.3">
      <c r="A185" s="215"/>
      <c r="B185" s="214" t="s">
        <v>461</v>
      </c>
      <c r="C185" s="213" t="s">
        <v>456</v>
      </c>
      <c r="D185" s="213">
        <v>12.06</v>
      </c>
      <c r="E185" s="213" t="s">
        <v>389</v>
      </c>
      <c r="F185" s="213" t="s">
        <v>354</v>
      </c>
      <c r="G185" s="213" t="s">
        <v>399</v>
      </c>
      <c r="H185" s="212">
        <f t="shared" si="3"/>
        <v>14</v>
      </c>
      <c r="I185" s="216">
        <f>H185*Table_2[[#This Row],[Área (m²)]]</f>
        <v>168.84</v>
      </c>
      <c r="J185" s="208"/>
      <c r="K185" s="208"/>
      <c r="L185" s="211"/>
      <c r="M185" s="210"/>
      <c r="N185" s="208"/>
      <c r="O185" s="209"/>
    </row>
    <row r="186" spans="1:15" ht="14.25" customHeight="1" x14ac:dyDescent="0.3">
      <c r="A186" s="215"/>
      <c r="B186" s="214" t="s">
        <v>461</v>
      </c>
      <c r="C186" s="213" t="s">
        <v>443</v>
      </c>
      <c r="D186" s="213">
        <v>3.68</v>
      </c>
      <c r="E186" s="213" t="s">
        <v>200</v>
      </c>
      <c r="F186" s="213" t="s">
        <v>354</v>
      </c>
      <c r="G186" s="213" t="s">
        <v>399</v>
      </c>
      <c r="H186" s="212">
        <f t="shared" si="3"/>
        <v>14</v>
      </c>
      <c r="I186" s="216">
        <f>H186*Table_2[[#This Row],[Área (m²)]]</f>
        <v>51.52</v>
      </c>
      <c r="J186" s="208"/>
      <c r="K186" s="208"/>
      <c r="L186" s="211"/>
      <c r="M186" s="210"/>
      <c r="N186" s="208"/>
      <c r="O186" s="209"/>
    </row>
    <row r="187" spans="1:15" ht="14.25" customHeight="1" x14ac:dyDescent="0.3">
      <c r="A187" s="215"/>
      <c r="B187" s="214" t="s">
        <v>461</v>
      </c>
      <c r="C187" s="213" t="s">
        <v>444</v>
      </c>
      <c r="D187" s="213">
        <v>3.16</v>
      </c>
      <c r="E187" s="213" t="s">
        <v>200</v>
      </c>
      <c r="F187" s="213" t="s">
        <v>354</v>
      </c>
      <c r="G187" s="213" t="s">
        <v>399</v>
      </c>
      <c r="H187" s="212">
        <f t="shared" si="3"/>
        <v>14</v>
      </c>
      <c r="I187" s="216">
        <f>H187*Table_2[[#This Row],[Área (m²)]]</f>
        <v>44.24</v>
      </c>
      <c r="J187" s="208"/>
      <c r="K187" s="208"/>
      <c r="L187" s="211"/>
      <c r="M187" s="210"/>
      <c r="N187" s="208"/>
      <c r="O187" s="209"/>
    </row>
    <row r="188" spans="1:15" ht="14.25" customHeight="1" x14ac:dyDescent="0.3">
      <c r="A188" s="215"/>
      <c r="B188" s="214" t="s">
        <v>461</v>
      </c>
      <c r="C188" s="213" t="s">
        <v>457</v>
      </c>
      <c r="D188" s="213">
        <v>3.52</v>
      </c>
      <c r="E188" s="213" t="s">
        <v>200</v>
      </c>
      <c r="F188" s="213" t="s">
        <v>354</v>
      </c>
      <c r="G188" s="213" t="s">
        <v>399</v>
      </c>
      <c r="H188" s="212">
        <f t="shared" si="3"/>
        <v>14</v>
      </c>
      <c r="I188" s="216">
        <f>H188*Table_2[[#This Row],[Área (m²)]]</f>
        <v>49.28</v>
      </c>
      <c r="J188" s="208"/>
      <c r="K188" s="208"/>
      <c r="L188" s="211"/>
      <c r="M188" s="210"/>
      <c r="N188" s="208"/>
      <c r="O188" s="209"/>
    </row>
    <row r="189" spans="1:15" ht="14.25" customHeight="1" x14ac:dyDescent="0.3">
      <c r="A189" s="215"/>
      <c r="B189" s="214" t="s">
        <v>461</v>
      </c>
      <c r="C189" s="213" t="s">
        <v>388</v>
      </c>
      <c r="D189" s="213">
        <v>8.2200000000000006</v>
      </c>
      <c r="E189" s="213" t="s">
        <v>200</v>
      </c>
      <c r="F189" s="213" t="s">
        <v>354</v>
      </c>
      <c r="G189" s="213" t="s">
        <v>506</v>
      </c>
      <c r="H189" s="212">
        <f t="shared" si="3"/>
        <v>14</v>
      </c>
      <c r="I189" s="216">
        <f>H189*Table_2[[#This Row],[Área (m²)]]</f>
        <v>115.08000000000001</v>
      </c>
      <c r="J189" s="208"/>
      <c r="K189" s="208"/>
      <c r="L189" s="211"/>
      <c r="M189" s="210"/>
      <c r="N189" s="208"/>
      <c r="O189" s="209"/>
    </row>
    <row r="190" spans="1:15" ht="14.25" customHeight="1" x14ac:dyDescent="0.3">
      <c r="A190" s="215"/>
      <c r="B190" s="214" t="s">
        <v>461</v>
      </c>
      <c r="C190" s="213" t="s">
        <v>7</v>
      </c>
      <c r="D190" s="213">
        <v>0.46</v>
      </c>
      <c r="E190" s="213" t="s">
        <v>343</v>
      </c>
      <c r="F190" s="213" t="s">
        <v>354</v>
      </c>
      <c r="G190" s="213" t="s">
        <v>196</v>
      </c>
      <c r="H190" s="212">
        <f t="shared" si="3"/>
        <v>14</v>
      </c>
      <c r="I190" s="216">
        <f>H190*Table_2[[#This Row],[Área (m²)]]</f>
        <v>6.44</v>
      </c>
      <c r="J190" s="208"/>
      <c r="K190" s="208"/>
      <c r="L190" s="211"/>
      <c r="M190" s="210"/>
      <c r="N190" s="208"/>
      <c r="O190" s="209"/>
    </row>
    <row r="191" spans="1:15" ht="14.25" customHeight="1" x14ac:dyDescent="0.3">
      <c r="A191" s="215"/>
      <c r="B191" s="214" t="s">
        <v>461</v>
      </c>
      <c r="C191" s="213" t="s">
        <v>459</v>
      </c>
      <c r="D191" s="213">
        <v>1.32</v>
      </c>
      <c r="E191" s="213" t="s">
        <v>213</v>
      </c>
      <c r="F191" s="213" t="s">
        <v>354</v>
      </c>
      <c r="G191" s="213" t="s">
        <v>506</v>
      </c>
      <c r="H191" s="212">
        <f t="shared" si="3"/>
        <v>14</v>
      </c>
      <c r="I191" s="216">
        <f>H191*Table_2[[#This Row],[Área (m²)]]</f>
        <v>18.48</v>
      </c>
      <c r="J191" s="208"/>
      <c r="K191" s="208"/>
      <c r="L191" s="211"/>
      <c r="M191" s="210"/>
      <c r="N191" s="208"/>
      <c r="O191" s="209"/>
    </row>
    <row r="192" spans="1:15" ht="14.25" customHeight="1" x14ac:dyDescent="0.3">
      <c r="A192" s="215"/>
      <c r="B192" s="214" t="s">
        <v>461</v>
      </c>
      <c r="C192" s="213" t="s">
        <v>459</v>
      </c>
      <c r="D192" s="213">
        <v>24.3</v>
      </c>
      <c r="E192" s="213" t="s">
        <v>213</v>
      </c>
      <c r="F192" s="213" t="s">
        <v>354</v>
      </c>
      <c r="G192" s="213" t="s">
        <v>506</v>
      </c>
      <c r="H192" s="212">
        <f t="shared" ref="H192:H193" si="4">1*7</f>
        <v>7</v>
      </c>
      <c r="I192" s="216">
        <f>H192*Table_2[[#This Row],[Área (m²)]]</f>
        <v>170.1</v>
      </c>
      <c r="J192" s="208"/>
      <c r="K192" s="208"/>
      <c r="L192" s="211"/>
      <c r="M192" s="210"/>
      <c r="N192" s="208"/>
      <c r="O192" s="209"/>
    </row>
    <row r="193" spans="1:15" ht="14.25" customHeight="1" x14ac:dyDescent="0.3">
      <c r="A193" s="215"/>
      <c r="B193" s="214" t="s">
        <v>461</v>
      </c>
      <c r="C193" s="213" t="s">
        <v>385</v>
      </c>
      <c r="D193" s="213">
        <f>17.28+18*1.2*0.18</f>
        <v>21.167999999999999</v>
      </c>
      <c r="E193" s="213" t="s">
        <v>343</v>
      </c>
      <c r="F193" s="213" t="s">
        <v>354</v>
      </c>
      <c r="G193" s="213" t="s">
        <v>196</v>
      </c>
      <c r="H193" s="212">
        <f t="shared" si="4"/>
        <v>7</v>
      </c>
      <c r="I193" s="216">
        <f>H193*Table_2[[#This Row],[Área (m²)]]</f>
        <v>148.17599999999999</v>
      </c>
      <c r="J193" s="208"/>
      <c r="K193" s="208"/>
      <c r="L193" s="211"/>
      <c r="M193" s="210"/>
      <c r="N193" s="208"/>
      <c r="O193" s="209"/>
    </row>
    <row r="194" spans="1:15" ht="14.25" customHeight="1" x14ac:dyDescent="0.3">
      <c r="A194" s="215"/>
      <c r="B194" s="214" t="s">
        <v>462</v>
      </c>
      <c r="C194" s="213" t="s">
        <v>463</v>
      </c>
      <c r="D194" s="213">
        <v>57.78</v>
      </c>
      <c r="E194" s="213" t="s">
        <v>200</v>
      </c>
      <c r="F194" s="213" t="s">
        <v>354</v>
      </c>
      <c r="G194" s="213" t="s">
        <v>399</v>
      </c>
      <c r="H194" s="212">
        <v>1</v>
      </c>
      <c r="I194" s="216">
        <f>H194*Table_2[[#This Row],[Área (m²)]]</f>
        <v>57.78</v>
      </c>
      <c r="J194" s="208"/>
      <c r="K194" s="208"/>
      <c r="L194" s="211"/>
      <c r="M194" s="210"/>
      <c r="N194" s="208"/>
      <c r="O194" s="209"/>
    </row>
    <row r="195" spans="1:15" ht="14.25" customHeight="1" x14ac:dyDescent="0.3">
      <c r="A195" s="215"/>
      <c r="B195" s="214" t="s">
        <v>462</v>
      </c>
      <c r="C195" s="213" t="s">
        <v>453</v>
      </c>
      <c r="D195" s="213">
        <v>4.0599999999999996</v>
      </c>
      <c r="E195" s="213" t="s">
        <v>200</v>
      </c>
      <c r="F195" s="213" t="s">
        <v>354</v>
      </c>
      <c r="G195" s="213" t="s">
        <v>399</v>
      </c>
      <c r="H195" s="212">
        <v>1</v>
      </c>
      <c r="I195" s="216">
        <f>H195*Table_2[[#This Row],[Área (m²)]]</f>
        <v>4.0599999999999996</v>
      </c>
      <c r="J195" s="208"/>
      <c r="K195" s="208"/>
      <c r="L195" s="211"/>
      <c r="M195" s="210"/>
      <c r="N195" s="208"/>
      <c r="O195" s="209"/>
    </row>
    <row r="196" spans="1:15" ht="14.25" customHeight="1" x14ac:dyDescent="0.3">
      <c r="A196" s="215"/>
      <c r="B196" s="214" t="s">
        <v>462</v>
      </c>
      <c r="C196" s="213" t="s">
        <v>438</v>
      </c>
      <c r="D196" s="213">
        <v>2.68</v>
      </c>
      <c r="E196" s="213" t="s">
        <v>200</v>
      </c>
      <c r="F196" s="213" t="s">
        <v>354</v>
      </c>
      <c r="G196" s="213" t="s">
        <v>399</v>
      </c>
      <c r="H196" s="212">
        <v>1</v>
      </c>
      <c r="I196" s="216">
        <f>H196*Table_2[[#This Row],[Área (m²)]]</f>
        <v>2.68</v>
      </c>
      <c r="J196" s="208"/>
      <c r="K196" s="208"/>
      <c r="L196" s="211"/>
      <c r="M196" s="210"/>
      <c r="N196" s="208"/>
      <c r="O196" s="209"/>
    </row>
    <row r="197" spans="1:15" ht="14.25" customHeight="1" x14ac:dyDescent="0.3">
      <c r="A197" s="215"/>
      <c r="B197" s="214" t="s">
        <v>462</v>
      </c>
      <c r="C197" s="213" t="s">
        <v>464</v>
      </c>
      <c r="D197" s="213">
        <v>1.26</v>
      </c>
      <c r="E197" s="213" t="s">
        <v>213</v>
      </c>
      <c r="F197" s="213" t="s">
        <v>354</v>
      </c>
      <c r="G197" s="213" t="s">
        <v>213</v>
      </c>
      <c r="H197" s="212">
        <v>1</v>
      </c>
      <c r="I197" s="216">
        <f>H197*Table_2[[#This Row],[Área (m²)]]</f>
        <v>1.26</v>
      </c>
      <c r="J197" s="208"/>
      <c r="K197" s="208"/>
      <c r="L197" s="211"/>
      <c r="M197" s="210"/>
      <c r="N197" s="208"/>
      <c r="O197" s="209"/>
    </row>
    <row r="198" spans="1:15" ht="14.25" customHeight="1" x14ac:dyDescent="0.3">
      <c r="A198" s="215"/>
      <c r="B198" s="214" t="s">
        <v>462</v>
      </c>
      <c r="C198" s="213" t="s">
        <v>390</v>
      </c>
      <c r="D198" s="213">
        <v>16.36</v>
      </c>
      <c r="E198" s="213" t="s">
        <v>389</v>
      </c>
      <c r="F198" s="213" t="s">
        <v>354</v>
      </c>
      <c r="G198" s="213" t="s">
        <v>399</v>
      </c>
      <c r="H198" s="212">
        <v>1</v>
      </c>
      <c r="I198" s="216">
        <f>H198*Table_2[[#This Row],[Área (m²)]]</f>
        <v>16.36</v>
      </c>
      <c r="J198" s="208"/>
      <c r="K198" s="208"/>
      <c r="L198" s="211"/>
      <c r="M198" s="210"/>
      <c r="N198" s="208"/>
      <c r="O198" s="209"/>
    </row>
    <row r="199" spans="1:15" ht="14.25" customHeight="1" x14ac:dyDescent="0.3">
      <c r="A199" s="215"/>
      <c r="B199" s="214" t="s">
        <v>462</v>
      </c>
      <c r="C199" s="213" t="s">
        <v>391</v>
      </c>
      <c r="D199" s="213">
        <v>12.69</v>
      </c>
      <c r="E199" s="213" t="s">
        <v>389</v>
      </c>
      <c r="F199" s="213" t="s">
        <v>354</v>
      </c>
      <c r="G199" s="213" t="s">
        <v>399</v>
      </c>
      <c r="H199" s="212">
        <v>1</v>
      </c>
      <c r="I199" s="216">
        <f>H199*Table_2[[#This Row],[Área (m²)]]</f>
        <v>12.69</v>
      </c>
      <c r="J199" s="208"/>
      <c r="K199" s="208"/>
      <c r="L199" s="211"/>
      <c r="M199" s="210"/>
      <c r="N199" s="208"/>
      <c r="O199" s="209"/>
    </row>
    <row r="200" spans="1:15" ht="14.25" customHeight="1" x14ac:dyDescent="0.3">
      <c r="A200" s="215"/>
      <c r="B200" s="214" t="s">
        <v>462</v>
      </c>
      <c r="C200" s="213" t="s">
        <v>456</v>
      </c>
      <c r="D200" s="213">
        <v>12.69</v>
      </c>
      <c r="E200" s="213" t="s">
        <v>389</v>
      </c>
      <c r="F200" s="213" t="s">
        <v>354</v>
      </c>
      <c r="G200" s="213" t="s">
        <v>399</v>
      </c>
      <c r="H200" s="212">
        <v>1</v>
      </c>
      <c r="I200" s="216">
        <f>H200*Table_2[[#This Row],[Área (m²)]]</f>
        <v>12.69</v>
      </c>
      <c r="J200" s="208"/>
      <c r="K200" s="208"/>
      <c r="L200" s="211"/>
      <c r="M200" s="210"/>
      <c r="N200" s="208"/>
      <c r="O200" s="209"/>
    </row>
    <row r="201" spans="1:15" ht="14.25" customHeight="1" x14ac:dyDescent="0.3">
      <c r="A201" s="215"/>
      <c r="B201" s="214" t="s">
        <v>462</v>
      </c>
      <c r="C201" s="213" t="s">
        <v>443</v>
      </c>
      <c r="D201" s="213">
        <v>5.0599999999999996</v>
      </c>
      <c r="E201" s="213" t="s">
        <v>200</v>
      </c>
      <c r="F201" s="213" t="s">
        <v>354</v>
      </c>
      <c r="G201" s="213" t="s">
        <v>399</v>
      </c>
      <c r="H201" s="212">
        <v>1</v>
      </c>
      <c r="I201" s="216">
        <f>H201*Table_2[[#This Row],[Área (m²)]]</f>
        <v>5.0599999999999996</v>
      </c>
      <c r="J201" s="208"/>
      <c r="K201" s="208"/>
      <c r="L201" s="211"/>
      <c r="M201" s="210"/>
      <c r="N201" s="208"/>
      <c r="O201" s="209"/>
    </row>
    <row r="202" spans="1:15" ht="14.25" customHeight="1" x14ac:dyDescent="0.3">
      <c r="A202" s="215"/>
      <c r="B202" s="214" t="s">
        <v>462</v>
      </c>
      <c r="C202" s="213" t="s">
        <v>444</v>
      </c>
      <c r="D202" s="213">
        <v>3.44</v>
      </c>
      <c r="E202" s="213" t="s">
        <v>200</v>
      </c>
      <c r="F202" s="213" t="s">
        <v>354</v>
      </c>
      <c r="G202" s="213" t="s">
        <v>399</v>
      </c>
      <c r="H202" s="212">
        <v>1</v>
      </c>
      <c r="I202" s="216">
        <f>H202*Table_2[[#This Row],[Área (m²)]]</f>
        <v>3.44</v>
      </c>
      <c r="J202" s="208"/>
      <c r="K202" s="208"/>
      <c r="L202" s="211"/>
      <c r="M202" s="210"/>
      <c r="N202" s="208"/>
      <c r="O202" s="209"/>
    </row>
    <row r="203" spans="1:15" ht="14.25" customHeight="1" x14ac:dyDescent="0.3">
      <c r="A203" s="215"/>
      <c r="B203" s="214" t="s">
        <v>462</v>
      </c>
      <c r="C203" s="213" t="s">
        <v>457</v>
      </c>
      <c r="D203" s="213">
        <v>3.44</v>
      </c>
      <c r="E203" s="213" t="s">
        <v>200</v>
      </c>
      <c r="F203" s="213" t="s">
        <v>354</v>
      </c>
      <c r="G203" s="213" t="s">
        <v>399</v>
      </c>
      <c r="H203" s="212">
        <v>1</v>
      </c>
      <c r="I203" s="216">
        <f>H203*Table_2[[#This Row],[Área (m²)]]</f>
        <v>3.44</v>
      </c>
      <c r="J203" s="208"/>
      <c r="K203" s="208"/>
      <c r="L203" s="211"/>
      <c r="M203" s="210"/>
      <c r="N203" s="208"/>
      <c r="O203" s="209"/>
    </row>
    <row r="204" spans="1:15" ht="14.25" customHeight="1" x14ac:dyDescent="0.3">
      <c r="A204" s="215"/>
      <c r="B204" s="214" t="s">
        <v>462</v>
      </c>
      <c r="C204" s="213" t="s">
        <v>388</v>
      </c>
      <c r="D204" s="213">
        <v>54.44</v>
      </c>
      <c r="E204" s="213" t="s">
        <v>200</v>
      </c>
      <c r="F204" s="213" t="s">
        <v>354</v>
      </c>
      <c r="G204" s="213" t="s">
        <v>506</v>
      </c>
      <c r="H204" s="212">
        <v>1</v>
      </c>
      <c r="I204" s="216">
        <f>H204*Table_2[[#This Row],[Área (m²)]]</f>
        <v>54.44</v>
      </c>
      <c r="J204" s="208"/>
      <c r="K204" s="208"/>
      <c r="L204" s="211"/>
      <c r="M204" s="210"/>
      <c r="N204" s="208"/>
      <c r="O204" s="209"/>
    </row>
    <row r="205" spans="1:15" ht="14.25" customHeight="1" x14ac:dyDescent="0.3">
      <c r="A205" s="215"/>
      <c r="B205" s="214" t="s">
        <v>465</v>
      </c>
      <c r="C205" s="213" t="s">
        <v>442</v>
      </c>
      <c r="D205" s="213">
        <v>34.6</v>
      </c>
      <c r="E205" s="213" t="s">
        <v>200</v>
      </c>
      <c r="F205" s="213" t="s">
        <v>354</v>
      </c>
      <c r="G205" s="213" t="s">
        <v>399</v>
      </c>
      <c r="H205" s="212">
        <v>1</v>
      </c>
      <c r="I205" s="216">
        <f>H205*Table_2[[#This Row],[Área (m²)]]</f>
        <v>34.6</v>
      </c>
      <c r="J205" s="208"/>
      <c r="K205" s="208"/>
      <c r="L205" s="211"/>
      <c r="M205" s="210"/>
      <c r="N205" s="208"/>
      <c r="O205" s="209"/>
    </row>
    <row r="206" spans="1:15" ht="14.25" customHeight="1" x14ac:dyDescent="0.3">
      <c r="A206" s="215"/>
      <c r="B206" s="214" t="s">
        <v>465</v>
      </c>
      <c r="C206" s="213" t="s">
        <v>453</v>
      </c>
      <c r="D206" s="213">
        <v>3.65</v>
      </c>
      <c r="E206" s="213" t="s">
        <v>200</v>
      </c>
      <c r="F206" s="213" t="s">
        <v>354</v>
      </c>
      <c r="G206" s="213" t="s">
        <v>399</v>
      </c>
      <c r="H206" s="212">
        <v>1</v>
      </c>
      <c r="I206" s="216">
        <f>H206*Table_2[[#This Row],[Área (m²)]]</f>
        <v>3.65</v>
      </c>
      <c r="J206" s="208"/>
      <c r="K206" s="208"/>
      <c r="L206" s="211"/>
      <c r="M206" s="210"/>
      <c r="N206" s="208"/>
      <c r="O206" s="209"/>
    </row>
    <row r="207" spans="1:15" ht="14.25" customHeight="1" x14ac:dyDescent="0.3">
      <c r="A207" s="215"/>
      <c r="B207" s="214" t="s">
        <v>465</v>
      </c>
      <c r="C207" s="213" t="s">
        <v>355</v>
      </c>
      <c r="D207" s="213">
        <v>5.48</v>
      </c>
      <c r="E207" s="213" t="s">
        <v>389</v>
      </c>
      <c r="F207" s="213" t="s">
        <v>354</v>
      </c>
      <c r="G207" s="213" t="s">
        <v>399</v>
      </c>
      <c r="H207" s="212">
        <v>1</v>
      </c>
      <c r="I207" s="216">
        <f>H207*Table_2[[#This Row],[Área (m²)]]</f>
        <v>5.48</v>
      </c>
      <c r="J207" s="208"/>
      <c r="K207" s="208"/>
      <c r="L207" s="211"/>
      <c r="M207" s="210"/>
      <c r="N207" s="208"/>
      <c r="O207" s="209"/>
    </row>
    <row r="208" spans="1:15" ht="14.25" customHeight="1" x14ac:dyDescent="0.3">
      <c r="A208" s="215"/>
      <c r="B208" s="214" t="s">
        <v>465</v>
      </c>
      <c r="C208" s="213" t="s">
        <v>464</v>
      </c>
      <c r="D208" s="213">
        <v>1.26</v>
      </c>
      <c r="E208" s="213" t="s">
        <v>213</v>
      </c>
      <c r="F208" s="213" t="s">
        <v>354</v>
      </c>
      <c r="G208" s="213" t="s">
        <v>213</v>
      </c>
      <c r="H208" s="212">
        <v>1</v>
      </c>
      <c r="I208" s="216">
        <f>H208*Table_2[[#This Row],[Área (m²)]]</f>
        <v>1.26</v>
      </c>
      <c r="J208" s="208"/>
      <c r="K208" s="208"/>
      <c r="L208" s="211"/>
      <c r="M208" s="210"/>
      <c r="N208" s="208"/>
      <c r="O208" s="209"/>
    </row>
    <row r="209" spans="1:15" ht="14.25" customHeight="1" x14ac:dyDescent="0.3">
      <c r="A209" s="215"/>
      <c r="B209" s="214" t="s">
        <v>465</v>
      </c>
      <c r="C209" s="213" t="s">
        <v>390</v>
      </c>
      <c r="D209" s="213">
        <v>13.76</v>
      </c>
      <c r="E209" s="213" t="s">
        <v>389</v>
      </c>
      <c r="F209" s="213" t="s">
        <v>354</v>
      </c>
      <c r="G209" s="213" t="s">
        <v>399</v>
      </c>
      <c r="H209" s="212">
        <v>1</v>
      </c>
      <c r="I209" s="216">
        <f>H209*Table_2[[#This Row],[Área (m²)]]</f>
        <v>13.76</v>
      </c>
      <c r="J209" s="208"/>
      <c r="K209" s="208"/>
      <c r="L209" s="211"/>
      <c r="M209" s="210"/>
      <c r="N209" s="208"/>
      <c r="O209" s="209"/>
    </row>
    <row r="210" spans="1:15" ht="14.25" customHeight="1" x14ac:dyDescent="0.3">
      <c r="A210" s="215"/>
      <c r="B210" s="214" t="s">
        <v>465</v>
      </c>
      <c r="C210" s="213" t="s">
        <v>391</v>
      </c>
      <c r="D210" s="213">
        <v>13.6</v>
      </c>
      <c r="E210" s="213" t="s">
        <v>389</v>
      </c>
      <c r="F210" s="213" t="s">
        <v>354</v>
      </c>
      <c r="G210" s="213" t="s">
        <v>399</v>
      </c>
      <c r="H210" s="212">
        <v>1</v>
      </c>
      <c r="I210" s="216">
        <f>H210*Table_2[[#This Row],[Área (m²)]]</f>
        <v>13.6</v>
      </c>
      <c r="J210" s="208"/>
      <c r="K210" s="208"/>
      <c r="L210" s="211"/>
      <c r="M210" s="210"/>
      <c r="N210" s="208"/>
      <c r="O210" s="209"/>
    </row>
    <row r="211" spans="1:15" ht="14.25" customHeight="1" x14ac:dyDescent="0.3">
      <c r="A211" s="215"/>
      <c r="B211" s="214" t="s">
        <v>465</v>
      </c>
      <c r="C211" s="213" t="s">
        <v>449</v>
      </c>
      <c r="D211" s="213">
        <v>11.56</v>
      </c>
      <c r="E211" s="213" t="s">
        <v>389</v>
      </c>
      <c r="F211" s="213" t="s">
        <v>354</v>
      </c>
      <c r="G211" s="213" t="s">
        <v>399</v>
      </c>
      <c r="H211" s="212">
        <v>1</v>
      </c>
      <c r="I211" s="216">
        <f>H211*Table_2[[#This Row],[Área (m²)]]</f>
        <v>11.56</v>
      </c>
      <c r="J211" s="208"/>
      <c r="K211" s="208"/>
      <c r="L211" s="211"/>
      <c r="M211" s="210"/>
      <c r="N211" s="208"/>
      <c r="O211" s="209"/>
    </row>
    <row r="212" spans="1:15" ht="14.25" customHeight="1" x14ac:dyDescent="0.3">
      <c r="A212" s="215"/>
      <c r="B212" s="214" t="s">
        <v>465</v>
      </c>
      <c r="C212" s="213" t="s">
        <v>443</v>
      </c>
      <c r="D212" s="213">
        <v>4.25</v>
      </c>
      <c r="E212" s="213" t="s">
        <v>200</v>
      </c>
      <c r="F212" s="213" t="s">
        <v>354</v>
      </c>
      <c r="G212" s="213" t="s">
        <v>399</v>
      </c>
      <c r="H212" s="212">
        <v>1</v>
      </c>
      <c r="I212" s="216">
        <f>H212*Table_2[[#This Row],[Área (m²)]]</f>
        <v>4.25</v>
      </c>
      <c r="J212" s="208"/>
      <c r="K212" s="208"/>
      <c r="L212" s="211"/>
      <c r="M212" s="210"/>
      <c r="N212" s="208"/>
      <c r="O212" s="209"/>
    </row>
    <row r="213" spans="1:15" ht="14.25" customHeight="1" x14ac:dyDescent="0.3">
      <c r="A213" s="215"/>
      <c r="B213" s="214" t="s">
        <v>465</v>
      </c>
      <c r="C213" s="213" t="s">
        <v>444</v>
      </c>
      <c r="D213" s="213">
        <v>3.56</v>
      </c>
      <c r="E213" s="213" t="s">
        <v>200</v>
      </c>
      <c r="F213" s="213" t="s">
        <v>354</v>
      </c>
      <c r="G213" s="213" t="s">
        <v>399</v>
      </c>
      <c r="H213" s="212">
        <v>1</v>
      </c>
      <c r="I213" s="216">
        <f>H213*Table_2[[#This Row],[Área (m²)]]</f>
        <v>3.56</v>
      </c>
      <c r="J213" s="208"/>
      <c r="K213" s="208"/>
      <c r="L213" s="211"/>
      <c r="M213" s="210"/>
      <c r="N213" s="208"/>
      <c r="O213" s="209"/>
    </row>
    <row r="214" spans="1:15" ht="14.25" customHeight="1" x14ac:dyDescent="0.3">
      <c r="A214" s="215"/>
      <c r="B214" s="214" t="s">
        <v>465</v>
      </c>
      <c r="C214" s="213" t="s">
        <v>457</v>
      </c>
      <c r="D214" s="213">
        <v>3.29</v>
      </c>
      <c r="E214" s="213" t="s">
        <v>200</v>
      </c>
      <c r="F214" s="213" t="s">
        <v>354</v>
      </c>
      <c r="G214" s="213" t="s">
        <v>399</v>
      </c>
      <c r="H214" s="212">
        <v>1</v>
      </c>
      <c r="I214" s="216">
        <f>H214*Table_2[[#This Row],[Área (m²)]]</f>
        <v>3.29</v>
      </c>
      <c r="J214" s="208"/>
      <c r="K214" s="208"/>
      <c r="L214" s="211"/>
      <c r="M214" s="210"/>
      <c r="N214" s="208"/>
      <c r="O214" s="209"/>
    </row>
    <row r="215" spans="1:15" ht="14.25" customHeight="1" x14ac:dyDescent="0.3">
      <c r="A215" s="215"/>
      <c r="B215" s="214" t="s">
        <v>465</v>
      </c>
      <c r="C215" s="213" t="s">
        <v>388</v>
      </c>
      <c r="D215" s="213">
        <f>D204</f>
        <v>54.44</v>
      </c>
      <c r="E215" s="213" t="s">
        <v>200</v>
      </c>
      <c r="F215" s="213" t="s">
        <v>354</v>
      </c>
      <c r="G215" s="213" t="s">
        <v>506</v>
      </c>
      <c r="H215" s="212">
        <v>1</v>
      </c>
      <c r="I215" s="216">
        <f>H215*Table_2[[#This Row],[Área (m²)]]</f>
        <v>54.44</v>
      </c>
      <c r="J215" s="208"/>
      <c r="K215" s="208"/>
      <c r="L215" s="211"/>
      <c r="M215" s="210"/>
      <c r="N215" s="208"/>
      <c r="O215" s="209"/>
    </row>
    <row r="216" spans="1:15" ht="14.25" customHeight="1" x14ac:dyDescent="0.3">
      <c r="A216" s="215"/>
      <c r="B216" s="214" t="s">
        <v>466</v>
      </c>
      <c r="C216" s="213" t="s">
        <v>442</v>
      </c>
      <c r="D216" s="213">
        <v>47.16</v>
      </c>
      <c r="E216" s="213" t="s">
        <v>200</v>
      </c>
      <c r="F216" s="213" t="s">
        <v>354</v>
      </c>
      <c r="G216" s="213" t="s">
        <v>399</v>
      </c>
      <c r="H216" s="212">
        <v>1</v>
      </c>
      <c r="I216" s="216">
        <f>H216*Table_2[[#This Row],[Área (m²)]]</f>
        <v>47.16</v>
      </c>
      <c r="J216" s="208"/>
      <c r="K216" s="208"/>
      <c r="L216" s="211"/>
      <c r="M216" s="210"/>
      <c r="N216" s="208"/>
      <c r="O216" s="209"/>
    </row>
    <row r="217" spans="1:15" ht="14.25" customHeight="1" x14ac:dyDescent="0.3">
      <c r="A217" s="215"/>
      <c r="B217" s="214" t="s">
        <v>466</v>
      </c>
      <c r="C217" s="213" t="s">
        <v>445</v>
      </c>
      <c r="D217" s="213">
        <v>20.38</v>
      </c>
      <c r="E217" s="213" t="s">
        <v>200</v>
      </c>
      <c r="F217" s="213" t="s">
        <v>354</v>
      </c>
      <c r="G217" s="213" t="s">
        <v>399</v>
      </c>
      <c r="H217" s="212">
        <v>1</v>
      </c>
      <c r="I217" s="216">
        <f>H217*Table_2[[#This Row],[Área (m²)]]</f>
        <v>20.38</v>
      </c>
      <c r="J217" s="208"/>
      <c r="K217" s="208"/>
      <c r="L217" s="211"/>
      <c r="M217" s="210"/>
      <c r="N217" s="208"/>
      <c r="O217" s="209"/>
    </row>
    <row r="218" spans="1:15" ht="14.25" customHeight="1" x14ac:dyDescent="0.3">
      <c r="A218" s="215"/>
      <c r="B218" s="214" t="s">
        <v>466</v>
      </c>
      <c r="C218" s="213" t="s">
        <v>453</v>
      </c>
      <c r="D218" s="213">
        <v>4.26</v>
      </c>
      <c r="E218" s="213" t="s">
        <v>200</v>
      </c>
      <c r="F218" s="213" t="s">
        <v>354</v>
      </c>
      <c r="G218" s="213" t="s">
        <v>399</v>
      </c>
      <c r="H218" s="212">
        <v>1</v>
      </c>
      <c r="I218" s="216">
        <f>H218*Table_2[[#This Row],[Área (m²)]]</f>
        <v>4.26</v>
      </c>
      <c r="J218" s="208"/>
      <c r="K218" s="208"/>
      <c r="L218" s="211"/>
      <c r="M218" s="210"/>
      <c r="N218" s="208"/>
      <c r="O218" s="209"/>
    </row>
    <row r="219" spans="1:15" ht="14.25" customHeight="1" x14ac:dyDescent="0.3">
      <c r="A219" s="215"/>
      <c r="B219" s="214" t="s">
        <v>466</v>
      </c>
      <c r="C219" s="213" t="s">
        <v>438</v>
      </c>
      <c r="D219" s="213">
        <v>2.46</v>
      </c>
      <c r="E219" s="213" t="s">
        <v>200</v>
      </c>
      <c r="F219" s="213" t="s">
        <v>354</v>
      </c>
      <c r="G219" s="213" t="s">
        <v>399</v>
      </c>
      <c r="H219" s="212">
        <v>1</v>
      </c>
      <c r="I219" s="216">
        <f>H219*Table_2[[#This Row],[Área (m²)]]</f>
        <v>2.46</v>
      </c>
      <c r="J219" s="208"/>
      <c r="K219" s="208"/>
      <c r="L219" s="211"/>
      <c r="M219" s="210"/>
      <c r="N219" s="208"/>
      <c r="O219" s="209"/>
    </row>
    <row r="220" spans="1:15" ht="14.25" customHeight="1" x14ac:dyDescent="0.3">
      <c r="A220" s="215"/>
      <c r="B220" s="214" t="s">
        <v>466</v>
      </c>
      <c r="C220" s="213" t="s">
        <v>355</v>
      </c>
      <c r="D220" s="213">
        <v>7.28</v>
      </c>
      <c r="E220" s="213" t="s">
        <v>389</v>
      </c>
      <c r="F220" s="213" t="s">
        <v>354</v>
      </c>
      <c r="G220" s="213" t="s">
        <v>399</v>
      </c>
      <c r="H220" s="212">
        <v>1</v>
      </c>
      <c r="I220" s="216">
        <f>H220*Table_2[[#This Row],[Área (m²)]]</f>
        <v>7.28</v>
      </c>
      <c r="J220" s="208"/>
      <c r="K220" s="208"/>
      <c r="L220" s="211"/>
      <c r="M220" s="210"/>
      <c r="N220" s="208"/>
      <c r="O220" s="209"/>
    </row>
    <row r="221" spans="1:15" ht="14.25" customHeight="1" x14ac:dyDescent="0.3">
      <c r="A221" s="215"/>
      <c r="B221" s="214" t="s">
        <v>466</v>
      </c>
      <c r="C221" s="213" t="s">
        <v>390</v>
      </c>
      <c r="D221" s="213">
        <v>15.4</v>
      </c>
      <c r="E221" s="213" t="s">
        <v>389</v>
      </c>
      <c r="F221" s="213" t="s">
        <v>354</v>
      </c>
      <c r="G221" s="213" t="s">
        <v>399</v>
      </c>
      <c r="H221" s="212">
        <v>1</v>
      </c>
      <c r="I221" s="216">
        <f>H221*Table_2[[#This Row],[Área (m²)]]</f>
        <v>15.4</v>
      </c>
      <c r="J221" s="208"/>
      <c r="K221" s="208"/>
      <c r="L221" s="211"/>
      <c r="M221" s="210"/>
      <c r="N221" s="208"/>
      <c r="O221" s="209"/>
    </row>
    <row r="222" spans="1:15" ht="14.25" customHeight="1" x14ac:dyDescent="0.3">
      <c r="A222" s="215"/>
      <c r="B222" s="214" t="s">
        <v>466</v>
      </c>
      <c r="C222" s="213" t="s">
        <v>391</v>
      </c>
      <c r="D222" s="213">
        <v>13</v>
      </c>
      <c r="E222" s="213" t="s">
        <v>389</v>
      </c>
      <c r="F222" s="213" t="s">
        <v>354</v>
      </c>
      <c r="G222" s="213" t="s">
        <v>399</v>
      </c>
      <c r="H222" s="212">
        <v>1</v>
      </c>
      <c r="I222" s="216">
        <f>H222*Table_2[[#This Row],[Área (m²)]]</f>
        <v>13</v>
      </c>
      <c r="J222" s="208"/>
      <c r="K222" s="208"/>
      <c r="L222" s="211"/>
      <c r="M222" s="210"/>
      <c r="N222" s="208"/>
      <c r="O222" s="209"/>
    </row>
    <row r="223" spans="1:15" ht="14.25" customHeight="1" x14ac:dyDescent="0.3">
      <c r="A223" s="215"/>
      <c r="B223" s="214" t="s">
        <v>466</v>
      </c>
      <c r="C223" s="213" t="s">
        <v>456</v>
      </c>
      <c r="D223" s="213">
        <v>14.29</v>
      </c>
      <c r="E223" s="213" t="s">
        <v>389</v>
      </c>
      <c r="F223" s="213" t="s">
        <v>354</v>
      </c>
      <c r="G223" s="213" t="s">
        <v>399</v>
      </c>
      <c r="H223" s="212">
        <v>1</v>
      </c>
      <c r="I223" s="216">
        <f>H223*Table_2[[#This Row],[Área (m²)]]</f>
        <v>14.29</v>
      </c>
      <c r="J223" s="208"/>
      <c r="K223" s="208"/>
      <c r="L223" s="211"/>
      <c r="M223" s="210"/>
      <c r="N223" s="208"/>
      <c r="O223" s="209"/>
    </row>
    <row r="224" spans="1:15" ht="14.25" customHeight="1" x14ac:dyDescent="0.3">
      <c r="A224" s="215"/>
      <c r="B224" s="214" t="s">
        <v>466</v>
      </c>
      <c r="C224" s="213" t="s">
        <v>443</v>
      </c>
      <c r="D224" s="213">
        <v>5.07</v>
      </c>
      <c r="E224" s="213" t="s">
        <v>200</v>
      </c>
      <c r="F224" s="213" t="s">
        <v>354</v>
      </c>
      <c r="G224" s="213" t="s">
        <v>399</v>
      </c>
      <c r="H224" s="212">
        <v>1</v>
      </c>
      <c r="I224" s="216">
        <f>H224*Table_2[[#This Row],[Área (m²)]]</f>
        <v>5.07</v>
      </c>
      <c r="J224" s="208"/>
      <c r="K224" s="208"/>
      <c r="L224" s="211"/>
      <c r="M224" s="210"/>
      <c r="N224" s="208"/>
      <c r="O224" s="209"/>
    </row>
    <row r="225" spans="1:15" ht="14.25" customHeight="1" x14ac:dyDescent="0.3">
      <c r="A225" s="215"/>
      <c r="B225" s="214" t="s">
        <v>466</v>
      </c>
      <c r="C225" s="213" t="s">
        <v>444</v>
      </c>
      <c r="D225" s="213">
        <v>3.71</v>
      </c>
      <c r="E225" s="213" t="s">
        <v>200</v>
      </c>
      <c r="F225" s="213" t="s">
        <v>354</v>
      </c>
      <c r="G225" s="213" t="s">
        <v>399</v>
      </c>
      <c r="H225" s="212">
        <v>1</v>
      </c>
      <c r="I225" s="216">
        <f>H225*Table_2[[#This Row],[Área (m²)]]</f>
        <v>3.71</v>
      </c>
      <c r="J225" s="208"/>
      <c r="K225" s="208"/>
      <c r="L225" s="211"/>
      <c r="M225" s="210"/>
      <c r="N225" s="208"/>
      <c r="O225" s="209"/>
    </row>
    <row r="226" spans="1:15" ht="14.25" customHeight="1" x14ac:dyDescent="0.3">
      <c r="A226" s="215"/>
      <c r="B226" s="214" t="s">
        <v>466</v>
      </c>
      <c r="C226" s="213" t="s">
        <v>457</v>
      </c>
      <c r="D226" s="213">
        <v>3.88</v>
      </c>
      <c r="E226" s="213" t="s">
        <v>200</v>
      </c>
      <c r="F226" s="213" t="s">
        <v>354</v>
      </c>
      <c r="G226" s="213" t="s">
        <v>399</v>
      </c>
      <c r="H226" s="212">
        <v>1</v>
      </c>
      <c r="I226" s="216">
        <f>H226*Table_2[[#This Row],[Área (m²)]]</f>
        <v>3.88</v>
      </c>
      <c r="J226" s="208"/>
      <c r="K226" s="208"/>
      <c r="L226" s="211"/>
      <c r="M226" s="210"/>
      <c r="N226" s="208"/>
      <c r="O226" s="209"/>
    </row>
    <row r="227" spans="1:15" ht="14.25" customHeight="1" x14ac:dyDescent="0.3">
      <c r="A227" s="215"/>
      <c r="B227" s="214" t="s">
        <v>466</v>
      </c>
      <c r="C227" s="213" t="s">
        <v>388</v>
      </c>
      <c r="D227" s="213">
        <v>50.91</v>
      </c>
      <c r="E227" s="213" t="s">
        <v>200</v>
      </c>
      <c r="F227" s="213" t="s">
        <v>354</v>
      </c>
      <c r="G227" s="213" t="s">
        <v>506</v>
      </c>
      <c r="H227" s="212">
        <v>1</v>
      </c>
      <c r="I227" s="216">
        <f>H227*Table_2[[#This Row],[Área (m²)]]</f>
        <v>50.91</v>
      </c>
      <c r="J227" s="208"/>
      <c r="K227" s="208"/>
      <c r="L227" s="211"/>
      <c r="M227" s="210"/>
      <c r="N227" s="208"/>
      <c r="O227" s="209"/>
    </row>
    <row r="228" spans="1:15" ht="14.25" customHeight="1" x14ac:dyDescent="0.3">
      <c r="A228" s="215"/>
      <c r="B228" s="214" t="s">
        <v>467</v>
      </c>
      <c r="C228" s="213" t="s">
        <v>442</v>
      </c>
      <c r="D228" s="213">
        <v>72.25</v>
      </c>
      <c r="E228" s="213" t="s">
        <v>200</v>
      </c>
      <c r="F228" s="213" t="s">
        <v>354</v>
      </c>
      <c r="G228" s="213" t="s">
        <v>399</v>
      </c>
      <c r="H228" s="212">
        <v>1</v>
      </c>
      <c r="I228" s="216">
        <f>H228*Table_2[[#This Row],[Área (m²)]]</f>
        <v>72.25</v>
      </c>
      <c r="J228" s="208"/>
      <c r="K228" s="208"/>
      <c r="L228" s="211"/>
      <c r="M228" s="210"/>
      <c r="N228" s="208"/>
      <c r="O228" s="209"/>
    </row>
    <row r="229" spans="1:15" ht="14.25" customHeight="1" x14ac:dyDescent="0.3">
      <c r="A229" s="215"/>
      <c r="B229" s="214" t="s">
        <v>467</v>
      </c>
      <c r="C229" s="213" t="s">
        <v>453</v>
      </c>
      <c r="D229" s="213">
        <v>5.88</v>
      </c>
      <c r="E229" s="213" t="s">
        <v>200</v>
      </c>
      <c r="F229" s="213" t="s">
        <v>354</v>
      </c>
      <c r="G229" s="213" t="s">
        <v>399</v>
      </c>
      <c r="H229" s="212">
        <v>1</v>
      </c>
      <c r="I229" s="216">
        <f>H229*Table_2[[#This Row],[Área (m²)]]</f>
        <v>5.88</v>
      </c>
      <c r="J229" s="208"/>
      <c r="K229" s="208"/>
      <c r="L229" s="211"/>
      <c r="M229" s="210"/>
      <c r="N229" s="208"/>
      <c r="O229" s="209"/>
    </row>
    <row r="230" spans="1:15" ht="14.25" customHeight="1" x14ac:dyDescent="0.3">
      <c r="A230" s="215"/>
      <c r="B230" s="214" t="s">
        <v>467</v>
      </c>
      <c r="C230" s="213" t="s">
        <v>438</v>
      </c>
      <c r="D230" s="213">
        <v>2.31</v>
      </c>
      <c r="E230" s="213" t="s">
        <v>200</v>
      </c>
      <c r="F230" s="213" t="s">
        <v>354</v>
      </c>
      <c r="G230" s="213" t="s">
        <v>399</v>
      </c>
      <c r="H230" s="212">
        <v>1</v>
      </c>
      <c r="I230" s="216">
        <f>H230*Table_2[[#This Row],[Área (m²)]]</f>
        <v>2.31</v>
      </c>
      <c r="J230" s="208"/>
      <c r="K230" s="208"/>
      <c r="L230" s="211"/>
      <c r="M230" s="210"/>
      <c r="N230" s="208"/>
      <c r="O230" s="209"/>
    </row>
    <row r="231" spans="1:15" ht="14.25" customHeight="1" x14ac:dyDescent="0.3">
      <c r="A231" s="215"/>
      <c r="B231" s="214" t="s">
        <v>467</v>
      </c>
      <c r="C231" s="213" t="s">
        <v>464</v>
      </c>
      <c r="D231" s="213">
        <v>1.26</v>
      </c>
      <c r="E231" s="213" t="s">
        <v>213</v>
      </c>
      <c r="F231" s="213" t="s">
        <v>354</v>
      </c>
      <c r="G231" s="213" t="s">
        <v>213</v>
      </c>
      <c r="H231" s="212">
        <v>1</v>
      </c>
      <c r="I231" s="216">
        <f>H231*Table_2[[#This Row],[Área (m²)]]</f>
        <v>1.26</v>
      </c>
      <c r="J231" s="208"/>
      <c r="K231" s="208"/>
      <c r="L231" s="211"/>
      <c r="M231" s="210"/>
      <c r="N231" s="208"/>
      <c r="O231" s="209"/>
    </row>
    <row r="232" spans="1:15" ht="14.25" customHeight="1" x14ac:dyDescent="0.3">
      <c r="A232" s="215"/>
      <c r="B232" s="214" t="s">
        <v>467</v>
      </c>
      <c r="C232" s="213" t="s">
        <v>355</v>
      </c>
      <c r="D232" s="213">
        <v>3.19</v>
      </c>
      <c r="E232" s="213" t="s">
        <v>389</v>
      </c>
      <c r="F232" s="213" t="s">
        <v>354</v>
      </c>
      <c r="G232" s="213" t="s">
        <v>399</v>
      </c>
      <c r="H232" s="212">
        <v>1</v>
      </c>
      <c r="I232" s="216">
        <f>H232*Table_2[[#This Row],[Área (m²)]]</f>
        <v>3.19</v>
      </c>
      <c r="J232" s="208"/>
      <c r="K232" s="208"/>
      <c r="L232" s="211"/>
      <c r="M232" s="210"/>
      <c r="N232" s="208"/>
      <c r="O232" s="209"/>
    </row>
    <row r="233" spans="1:15" ht="14.25" customHeight="1" x14ac:dyDescent="0.3">
      <c r="A233" s="215"/>
      <c r="B233" s="214" t="s">
        <v>467</v>
      </c>
      <c r="C233" s="213" t="s">
        <v>390</v>
      </c>
      <c r="D233" s="213">
        <v>18.27</v>
      </c>
      <c r="E233" s="213" t="s">
        <v>389</v>
      </c>
      <c r="F233" s="213" t="s">
        <v>354</v>
      </c>
      <c r="G233" s="213" t="s">
        <v>399</v>
      </c>
      <c r="H233" s="212">
        <v>1</v>
      </c>
      <c r="I233" s="216">
        <f>H233*Table_2[[#This Row],[Área (m²)]]</f>
        <v>18.27</v>
      </c>
      <c r="J233" s="208"/>
      <c r="K233" s="208"/>
      <c r="L233" s="211"/>
      <c r="M233" s="210"/>
      <c r="N233" s="208"/>
      <c r="O233" s="209"/>
    </row>
    <row r="234" spans="1:15" ht="14.25" customHeight="1" x14ac:dyDescent="0.3">
      <c r="A234" s="215"/>
      <c r="B234" s="214" t="s">
        <v>467</v>
      </c>
      <c r="C234" s="213" t="s">
        <v>391</v>
      </c>
      <c r="D234" s="213">
        <v>12.49</v>
      </c>
      <c r="E234" s="213" t="s">
        <v>389</v>
      </c>
      <c r="F234" s="213" t="s">
        <v>354</v>
      </c>
      <c r="G234" s="213" t="s">
        <v>399</v>
      </c>
      <c r="H234" s="212">
        <v>1</v>
      </c>
      <c r="I234" s="216">
        <f>H234*Table_2[[#This Row],[Área (m²)]]</f>
        <v>12.49</v>
      </c>
      <c r="J234" s="208"/>
      <c r="K234" s="208"/>
      <c r="L234" s="211"/>
      <c r="M234" s="210"/>
      <c r="N234" s="208"/>
      <c r="O234" s="209"/>
    </row>
    <row r="235" spans="1:15" ht="14.25" customHeight="1" x14ac:dyDescent="0.3">
      <c r="A235" s="215"/>
      <c r="B235" s="214" t="s">
        <v>467</v>
      </c>
      <c r="C235" s="213" t="s">
        <v>456</v>
      </c>
      <c r="D235" s="213">
        <v>12.5</v>
      </c>
      <c r="E235" s="213" t="s">
        <v>389</v>
      </c>
      <c r="F235" s="213" t="s">
        <v>354</v>
      </c>
      <c r="G235" s="213" t="s">
        <v>399</v>
      </c>
      <c r="H235" s="212">
        <v>1</v>
      </c>
      <c r="I235" s="216">
        <f>H235*Table_2[[#This Row],[Área (m²)]]</f>
        <v>12.5</v>
      </c>
      <c r="J235" s="208"/>
      <c r="K235" s="208"/>
      <c r="L235" s="211"/>
      <c r="M235" s="210"/>
      <c r="N235" s="208"/>
      <c r="O235" s="209"/>
    </row>
    <row r="236" spans="1:15" ht="14.25" customHeight="1" x14ac:dyDescent="0.3">
      <c r="A236" s="215"/>
      <c r="B236" s="214" t="s">
        <v>467</v>
      </c>
      <c r="C236" s="213" t="s">
        <v>443</v>
      </c>
      <c r="D236" s="213">
        <v>7.92</v>
      </c>
      <c r="E236" s="213" t="s">
        <v>200</v>
      </c>
      <c r="F236" s="213" t="s">
        <v>354</v>
      </c>
      <c r="G236" s="213" t="s">
        <v>399</v>
      </c>
      <c r="H236" s="212">
        <v>1</v>
      </c>
      <c r="I236" s="216">
        <f>H236*Table_2[[#This Row],[Área (m²)]]</f>
        <v>7.92</v>
      </c>
      <c r="J236" s="208"/>
      <c r="K236" s="208"/>
      <c r="L236" s="211"/>
      <c r="M236" s="210"/>
      <c r="N236" s="208"/>
      <c r="O236" s="209"/>
    </row>
    <row r="237" spans="1:15" ht="14.25" customHeight="1" x14ac:dyDescent="0.3">
      <c r="A237" s="215"/>
      <c r="B237" s="214" t="s">
        <v>467</v>
      </c>
      <c r="C237" s="213" t="s">
        <v>444</v>
      </c>
      <c r="D237" s="213">
        <v>3.78</v>
      </c>
      <c r="E237" s="213" t="s">
        <v>200</v>
      </c>
      <c r="F237" s="213" t="s">
        <v>354</v>
      </c>
      <c r="G237" s="213" t="s">
        <v>399</v>
      </c>
      <c r="H237" s="212">
        <v>1</v>
      </c>
      <c r="I237" s="216">
        <f>H237*Table_2[[#This Row],[Área (m²)]]</f>
        <v>3.78</v>
      </c>
      <c r="J237" s="208"/>
      <c r="K237" s="208"/>
      <c r="L237" s="211"/>
      <c r="M237" s="210"/>
      <c r="N237" s="208"/>
      <c r="O237" s="209"/>
    </row>
    <row r="238" spans="1:15" ht="14.25" customHeight="1" x14ac:dyDescent="0.3">
      <c r="A238" s="215"/>
      <c r="B238" s="214" t="s">
        <v>467</v>
      </c>
      <c r="C238" s="213" t="s">
        <v>457</v>
      </c>
      <c r="D238" s="213">
        <v>3.78</v>
      </c>
      <c r="E238" s="213" t="s">
        <v>200</v>
      </c>
      <c r="F238" s="213" t="s">
        <v>354</v>
      </c>
      <c r="G238" s="213" t="s">
        <v>399</v>
      </c>
      <c r="H238" s="212">
        <v>1</v>
      </c>
      <c r="I238" s="216">
        <f>H238*Table_2[[#This Row],[Área (m²)]]</f>
        <v>3.78</v>
      </c>
      <c r="J238" s="208"/>
      <c r="K238" s="208"/>
      <c r="L238" s="211"/>
      <c r="M238" s="210"/>
      <c r="N238" s="208"/>
      <c r="O238" s="209"/>
    </row>
    <row r="239" spans="1:15" ht="14.25" customHeight="1" x14ac:dyDescent="0.3">
      <c r="A239" s="215"/>
      <c r="B239" s="214" t="s">
        <v>467</v>
      </c>
      <c r="C239" s="213" t="s">
        <v>388</v>
      </c>
      <c r="D239" s="213">
        <v>69.87</v>
      </c>
      <c r="E239" s="213" t="s">
        <v>200</v>
      </c>
      <c r="F239" s="213" t="s">
        <v>354</v>
      </c>
      <c r="G239" s="213" t="s">
        <v>506</v>
      </c>
      <c r="H239" s="212">
        <v>1</v>
      </c>
      <c r="I239" s="216">
        <f>H239*Table_2[[#This Row],[Área (m²)]]</f>
        <v>69.87</v>
      </c>
      <c r="J239" s="208"/>
      <c r="K239" s="208"/>
      <c r="L239" s="211"/>
      <c r="M239" s="210"/>
      <c r="N239" s="208"/>
      <c r="O239" s="209"/>
    </row>
    <row r="240" spans="1:15" ht="14.25" customHeight="1" x14ac:dyDescent="0.3">
      <c r="A240" s="215"/>
      <c r="B240" s="214" t="s">
        <v>198</v>
      </c>
      <c r="C240" s="213" t="s">
        <v>385</v>
      </c>
      <c r="D240" s="213">
        <f>17.28+18*1.2*0.18</f>
        <v>21.167999999999999</v>
      </c>
      <c r="E240" s="213" t="s">
        <v>343</v>
      </c>
      <c r="F240" s="213" t="s">
        <v>354</v>
      </c>
      <c r="G240" s="213" t="s">
        <v>196</v>
      </c>
      <c r="H240" s="212">
        <v>1</v>
      </c>
      <c r="I240" s="216">
        <f>H240*Table_2[[#This Row],[Área (m²)]]</f>
        <v>21.167999999999999</v>
      </c>
      <c r="J240" s="208"/>
      <c r="K240" s="208"/>
      <c r="L240" s="211"/>
      <c r="M240" s="210"/>
      <c r="N240" s="208"/>
      <c r="O240" s="209"/>
    </row>
    <row r="241" spans="1:15" ht="14.25" customHeight="1" x14ac:dyDescent="0.3">
      <c r="A241" s="215"/>
      <c r="B241" s="214" t="s">
        <v>198</v>
      </c>
      <c r="C241" s="213" t="s">
        <v>459</v>
      </c>
      <c r="D241" s="213">
        <v>35.369999999999997</v>
      </c>
      <c r="E241" s="213" t="s">
        <v>213</v>
      </c>
      <c r="F241" s="213" t="s">
        <v>354</v>
      </c>
      <c r="G241" s="213" t="s">
        <v>506</v>
      </c>
      <c r="H241" s="212">
        <v>1</v>
      </c>
      <c r="I241" s="216">
        <f>H241*Table_2[[#This Row],[Área (m²)]]</f>
        <v>35.369999999999997</v>
      </c>
      <c r="J241" s="208"/>
      <c r="K241" s="208"/>
      <c r="L241" s="211"/>
      <c r="M241" s="210"/>
      <c r="N241" s="208"/>
      <c r="O241" s="209"/>
    </row>
    <row r="242" spans="1:15" ht="14.25" customHeight="1" x14ac:dyDescent="0.3">
      <c r="A242" s="215"/>
      <c r="B242" s="214" t="s">
        <v>468</v>
      </c>
      <c r="C242" s="213" t="s">
        <v>469</v>
      </c>
      <c r="D242" s="213">
        <f>745.39-60.96</f>
        <v>684.43</v>
      </c>
      <c r="E242" s="213" t="s">
        <v>213</v>
      </c>
      <c r="F242" s="213" t="s">
        <v>354</v>
      </c>
      <c r="G242" s="213" t="s">
        <v>213</v>
      </c>
      <c r="H242" s="212">
        <v>1</v>
      </c>
      <c r="I242" s="216">
        <f>H242*Table_2[[#This Row],[Área (m²)]]</f>
        <v>684.43</v>
      </c>
      <c r="J242" s="208"/>
      <c r="K242" s="208"/>
      <c r="L242" s="211"/>
      <c r="M242" s="210"/>
      <c r="N242" s="208"/>
      <c r="O242" s="209"/>
    </row>
    <row r="243" spans="1:15" ht="14.25" customHeight="1" x14ac:dyDescent="0.3">
      <c r="A243" s="215"/>
      <c r="B243" s="214" t="s">
        <v>468</v>
      </c>
      <c r="C243" s="213" t="s">
        <v>385</v>
      </c>
      <c r="D243" s="213">
        <f>13.32+18*1.2*0.18</f>
        <v>17.207999999999998</v>
      </c>
      <c r="E243" s="213" t="s">
        <v>343</v>
      </c>
      <c r="F243" s="213" t="s">
        <v>354</v>
      </c>
      <c r="G243" s="213" t="s">
        <v>196</v>
      </c>
      <c r="H243" s="212">
        <v>1</v>
      </c>
      <c r="I243" s="216">
        <f>H243*Table_2[[#This Row],[Área (m²)]]</f>
        <v>17.207999999999998</v>
      </c>
      <c r="J243" s="208"/>
      <c r="K243" s="208"/>
      <c r="L243" s="211"/>
      <c r="M243" s="210"/>
      <c r="N243" s="208"/>
      <c r="O243" s="209"/>
    </row>
    <row r="244" spans="1:15" ht="14.25" customHeight="1" x14ac:dyDescent="0.3">
      <c r="A244" s="215"/>
      <c r="B244" s="214" t="s">
        <v>468</v>
      </c>
      <c r="C244" s="213" t="s">
        <v>7</v>
      </c>
      <c r="D244" s="213">
        <v>10.95</v>
      </c>
      <c r="E244" s="213" t="s">
        <v>343</v>
      </c>
      <c r="F244" s="213" t="s">
        <v>354</v>
      </c>
      <c r="G244" s="213" t="s">
        <v>196</v>
      </c>
      <c r="H244" s="212">
        <v>1</v>
      </c>
      <c r="I244" s="216">
        <f>H244*Table_2[[#This Row],[Área (m²)]]</f>
        <v>10.95</v>
      </c>
      <c r="J244" s="208"/>
      <c r="K244" s="208"/>
      <c r="L244" s="211"/>
      <c r="M244" s="210"/>
      <c r="N244" s="208"/>
      <c r="O244" s="209"/>
    </row>
    <row r="245" spans="1:15" ht="14.25" customHeight="1" x14ac:dyDescent="0.3">
      <c r="A245" s="215"/>
      <c r="B245" s="214" t="s">
        <v>470</v>
      </c>
      <c r="C245" s="213" t="s">
        <v>362</v>
      </c>
      <c r="D245" s="213">
        <f>9.44+9.54</f>
        <v>18.979999999999997</v>
      </c>
      <c r="E245" s="213" t="s">
        <v>213</v>
      </c>
      <c r="F245" s="213" t="s">
        <v>354</v>
      </c>
      <c r="G245" s="213" t="s">
        <v>196</v>
      </c>
      <c r="H245" s="212">
        <v>1</v>
      </c>
      <c r="I245" s="216">
        <f>H245*Table_2[[#This Row],[Área (m²)]]</f>
        <v>18.979999999999997</v>
      </c>
      <c r="J245" s="208"/>
      <c r="K245" s="208"/>
      <c r="L245" s="211"/>
      <c r="M245" s="210"/>
      <c r="N245" s="208"/>
      <c r="O245" s="209"/>
    </row>
    <row r="246" spans="1:15" ht="14.25" customHeight="1" x14ac:dyDescent="0.3">
      <c r="A246" s="215"/>
      <c r="B246" s="214" t="s">
        <v>470</v>
      </c>
      <c r="C246" s="213" t="s">
        <v>471</v>
      </c>
      <c r="D246" s="213">
        <v>39.65</v>
      </c>
      <c r="E246" s="213" t="s">
        <v>213</v>
      </c>
      <c r="F246" s="213" t="s">
        <v>354</v>
      </c>
      <c r="G246" s="213" t="s">
        <v>213</v>
      </c>
      <c r="H246" s="212">
        <v>1</v>
      </c>
      <c r="I246" s="216">
        <f>H246*Table_2[[#This Row],[Área (m²)]]</f>
        <v>39.65</v>
      </c>
      <c r="J246" s="208"/>
      <c r="K246" s="208"/>
      <c r="L246" s="211"/>
      <c r="M246" s="210"/>
      <c r="N246" s="208"/>
      <c r="O246" s="209"/>
    </row>
    <row r="247" spans="1:15" ht="14.25" customHeight="1" x14ac:dyDescent="0.3">
      <c r="A247" s="215"/>
      <c r="B247" s="214"/>
      <c r="C247" s="213"/>
      <c r="D247" s="213"/>
      <c r="E247" s="213"/>
      <c r="F247" s="213"/>
      <c r="G247" s="213"/>
      <c r="H247" s="212"/>
      <c r="I247" s="210"/>
      <c r="J247" s="208"/>
      <c r="K247" s="208"/>
      <c r="L247" s="211"/>
      <c r="M247" s="210"/>
      <c r="N247" s="208"/>
      <c r="O247" s="209"/>
    </row>
    <row r="248" spans="1:15" ht="14.25" customHeight="1" x14ac:dyDescent="0.3">
      <c r="A248" s="215"/>
      <c r="B248" s="214"/>
      <c r="C248" s="213"/>
      <c r="D248" s="213"/>
      <c r="E248" s="213"/>
      <c r="F248" s="213"/>
      <c r="G248" s="213"/>
      <c r="H248" s="212"/>
      <c r="I248" s="210"/>
      <c r="J248" s="208"/>
      <c r="K248" s="208"/>
      <c r="L248" s="211"/>
      <c r="M248" s="210"/>
      <c r="N248" s="208"/>
      <c r="O248" s="209"/>
    </row>
    <row r="249" spans="1:15" ht="14.25" customHeight="1" x14ac:dyDescent="0.3">
      <c r="A249" s="215"/>
      <c r="B249" s="214"/>
      <c r="C249" s="213"/>
      <c r="D249" s="213"/>
      <c r="E249" s="213"/>
      <c r="F249" s="213"/>
      <c r="G249" s="213"/>
      <c r="H249" s="212"/>
      <c r="I249" s="210"/>
      <c r="J249" s="208"/>
      <c r="K249" s="208"/>
      <c r="L249" s="211"/>
      <c r="M249" s="210"/>
      <c r="N249" s="208"/>
      <c r="O249" s="209"/>
    </row>
    <row r="250" spans="1:15" ht="14.25" customHeight="1" x14ac:dyDescent="0.3">
      <c r="A250" s="215"/>
      <c r="B250" s="214"/>
      <c r="C250" s="213"/>
      <c r="D250" s="213"/>
      <c r="E250" s="213"/>
      <c r="F250" s="213"/>
      <c r="G250" s="213"/>
      <c r="H250" s="212"/>
      <c r="I250" s="210"/>
      <c r="J250" s="208"/>
      <c r="K250" s="208"/>
      <c r="L250" s="211"/>
      <c r="M250" s="210"/>
      <c r="N250" s="208"/>
      <c r="O250" s="209"/>
    </row>
    <row r="251" spans="1:15" ht="14.25" customHeight="1" x14ac:dyDescent="0.3">
      <c r="A251" s="215"/>
      <c r="B251" s="214"/>
      <c r="C251" s="213"/>
      <c r="D251" s="213"/>
      <c r="E251" s="213"/>
      <c r="F251" s="213"/>
      <c r="G251" s="213"/>
      <c r="H251" s="212"/>
      <c r="I251" s="210"/>
      <c r="J251" s="208"/>
      <c r="K251" s="208"/>
      <c r="L251" s="211"/>
      <c r="M251" s="210"/>
      <c r="N251" s="208"/>
      <c r="O251" s="209"/>
    </row>
    <row r="252" spans="1:15" ht="14.25" customHeight="1" x14ac:dyDescent="0.3">
      <c r="A252" s="208"/>
      <c r="J252" s="208"/>
      <c r="K252" s="208"/>
      <c r="N252" s="208"/>
      <c r="O252" s="208"/>
    </row>
    <row r="253" spans="1:15" ht="14.25" customHeight="1" x14ac:dyDescent="0.3">
      <c r="A253" s="208"/>
      <c r="J253" s="208"/>
      <c r="K253" s="208"/>
      <c r="N253" s="208"/>
      <c r="O253" s="208"/>
    </row>
    <row r="254" spans="1:15" ht="14.25" customHeight="1" x14ac:dyDescent="0.3">
      <c r="A254" s="208"/>
      <c r="J254" s="208"/>
      <c r="K254" s="208"/>
      <c r="N254" s="208"/>
      <c r="O254" s="208"/>
    </row>
    <row r="255" spans="1:15" ht="14.25" customHeight="1" x14ac:dyDescent="0.3">
      <c r="A255" s="208"/>
      <c r="J255" s="208"/>
      <c r="K255" s="208"/>
      <c r="N255" s="208"/>
      <c r="O255" s="208"/>
    </row>
    <row r="256" spans="1:15" ht="14.25" customHeight="1" x14ac:dyDescent="0.3">
      <c r="A256" s="208"/>
      <c r="J256" s="208"/>
      <c r="K256" s="208"/>
      <c r="N256" s="208"/>
      <c r="O256" s="208"/>
    </row>
    <row r="257" spans="1:15" ht="14.25" customHeight="1" x14ac:dyDescent="0.3">
      <c r="A257" s="208"/>
      <c r="J257" s="208"/>
      <c r="K257" s="208"/>
      <c r="N257" s="208"/>
      <c r="O257" s="208"/>
    </row>
    <row r="258" spans="1:15" ht="14.25" customHeight="1" x14ac:dyDescent="0.3">
      <c r="A258" s="208"/>
      <c r="J258" s="208"/>
      <c r="K258" s="208"/>
      <c r="N258" s="208"/>
      <c r="O258" s="208"/>
    </row>
    <row r="259" spans="1:15" ht="14.25" customHeight="1" x14ac:dyDescent="0.3">
      <c r="A259" s="208"/>
      <c r="J259" s="208"/>
      <c r="K259" s="208"/>
      <c r="N259" s="208"/>
      <c r="O259" s="208"/>
    </row>
    <row r="260" spans="1:15" ht="14.25" customHeight="1" x14ac:dyDescent="0.3">
      <c r="A260" s="208"/>
      <c r="J260" s="208"/>
      <c r="K260" s="208"/>
      <c r="N260" s="208"/>
      <c r="O260" s="208"/>
    </row>
    <row r="261" spans="1:15" ht="14.25" customHeight="1" x14ac:dyDescent="0.3">
      <c r="A261" s="208"/>
      <c r="J261" s="208"/>
      <c r="K261" s="208"/>
      <c r="N261" s="208"/>
      <c r="O261" s="208"/>
    </row>
    <row r="262" spans="1:15" ht="14.25" customHeight="1" x14ac:dyDescent="0.3">
      <c r="A262" s="208"/>
      <c r="J262" s="208"/>
      <c r="K262" s="208"/>
      <c r="N262" s="208"/>
      <c r="O262" s="208"/>
    </row>
    <row r="263" spans="1:15" ht="14.25" customHeight="1" x14ac:dyDescent="0.3">
      <c r="A263" s="208"/>
      <c r="J263" s="208"/>
      <c r="K263" s="208"/>
      <c r="N263" s="208"/>
      <c r="O263" s="208"/>
    </row>
    <row r="264" spans="1:15" ht="14.25" customHeight="1" x14ac:dyDescent="0.3">
      <c r="A264" s="208"/>
      <c r="J264" s="208"/>
      <c r="K264" s="208"/>
      <c r="N264" s="208"/>
      <c r="O264" s="208"/>
    </row>
    <row r="265" spans="1:15" ht="14.25" customHeight="1" x14ac:dyDescent="0.3">
      <c r="A265" s="208"/>
      <c r="J265" s="208"/>
      <c r="K265" s="208"/>
      <c r="N265" s="208"/>
      <c r="O265" s="208"/>
    </row>
    <row r="266" spans="1:15" ht="14.25" customHeight="1" x14ac:dyDescent="0.3">
      <c r="A266" s="208"/>
      <c r="J266" s="208"/>
      <c r="K266" s="208"/>
      <c r="N266" s="208"/>
      <c r="O266" s="208"/>
    </row>
    <row r="267" spans="1:15" ht="14.25" customHeight="1" x14ac:dyDescent="0.3">
      <c r="A267" s="208"/>
      <c r="J267" s="208"/>
      <c r="K267" s="208"/>
      <c r="N267" s="208"/>
      <c r="O267" s="208"/>
    </row>
    <row r="268" spans="1:15" ht="14.25" customHeight="1" x14ac:dyDescent="0.3">
      <c r="A268" s="208"/>
      <c r="J268" s="208"/>
      <c r="K268" s="208"/>
      <c r="N268" s="208"/>
      <c r="O268" s="208"/>
    </row>
    <row r="269" spans="1:15" ht="14.25" customHeight="1" x14ac:dyDescent="0.3">
      <c r="A269" s="208"/>
      <c r="J269" s="208"/>
      <c r="K269" s="208"/>
      <c r="N269" s="208"/>
      <c r="O269" s="208"/>
    </row>
    <row r="270" spans="1:15" ht="14.25" customHeight="1" x14ac:dyDescent="0.3">
      <c r="A270" s="208"/>
      <c r="J270" s="208"/>
      <c r="K270" s="208"/>
      <c r="N270" s="208"/>
      <c r="O270" s="208"/>
    </row>
    <row r="271" spans="1:15" ht="14.25" customHeight="1" x14ac:dyDescent="0.3">
      <c r="A271" s="208"/>
      <c r="J271" s="208"/>
      <c r="K271" s="208"/>
      <c r="N271" s="208"/>
      <c r="O271" s="208"/>
    </row>
    <row r="272" spans="1:15" ht="14.25" customHeight="1" x14ac:dyDescent="0.3">
      <c r="A272" s="208"/>
      <c r="J272" s="208"/>
      <c r="K272" s="208"/>
      <c r="N272" s="208"/>
      <c r="O272" s="208"/>
    </row>
    <row r="273" spans="1:15" ht="14.25" customHeight="1" x14ac:dyDescent="0.3">
      <c r="A273" s="208"/>
      <c r="J273" s="208"/>
      <c r="K273" s="208"/>
      <c r="N273" s="208"/>
      <c r="O273" s="208"/>
    </row>
    <row r="274" spans="1:15" ht="14.25" customHeight="1" x14ac:dyDescent="0.3">
      <c r="A274" s="208"/>
      <c r="J274" s="208"/>
      <c r="K274" s="208"/>
      <c r="N274" s="208"/>
      <c r="O274" s="208"/>
    </row>
    <row r="275" spans="1:15" ht="14.25" customHeight="1" x14ac:dyDescent="0.3">
      <c r="A275" s="208"/>
      <c r="J275" s="208"/>
      <c r="K275" s="208"/>
      <c r="N275" s="208"/>
      <c r="O275" s="208"/>
    </row>
    <row r="276" spans="1:15" ht="14.25" customHeight="1" x14ac:dyDescent="0.3">
      <c r="A276" s="208"/>
      <c r="J276" s="208"/>
      <c r="K276" s="208"/>
      <c r="N276" s="208"/>
      <c r="O276" s="208"/>
    </row>
    <row r="277" spans="1:15" ht="14.25" customHeight="1" x14ac:dyDescent="0.3">
      <c r="A277" s="208"/>
      <c r="J277" s="208"/>
      <c r="K277" s="208"/>
      <c r="N277" s="208"/>
      <c r="O277" s="208"/>
    </row>
    <row r="278" spans="1:15" ht="14.25" customHeight="1" x14ac:dyDescent="0.3">
      <c r="A278" s="208"/>
      <c r="J278" s="208"/>
      <c r="K278" s="208"/>
      <c r="N278" s="208"/>
      <c r="O278" s="208"/>
    </row>
    <row r="279" spans="1:15" ht="14.25" customHeight="1" x14ac:dyDescent="0.3">
      <c r="A279" s="208"/>
      <c r="J279" s="208"/>
      <c r="K279" s="208"/>
      <c r="N279" s="208"/>
      <c r="O279" s="208"/>
    </row>
    <row r="280" spans="1:15" ht="14.25" customHeight="1" x14ac:dyDescent="0.3">
      <c r="A280" s="208"/>
      <c r="J280" s="208"/>
      <c r="K280" s="208"/>
      <c r="N280" s="208"/>
      <c r="O280" s="208"/>
    </row>
    <row r="281" spans="1:15" ht="14.25" customHeight="1" x14ac:dyDescent="0.3">
      <c r="A281" s="208"/>
      <c r="J281" s="208"/>
      <c r="K281" s="208"/>
      <c r="N281" s="208"/>
      <c r="O281" s="208"/>
    </row>
    <row r="282" spans="1:15" ht="14.25" customHeight="1" x14ac:dyDescent="0.3">
      <c r="A282" s="208"/>
      <c r="J282" s="208"/>
      <c r="K282" s="208"/>
      <c r="N282" s="208"/>
      <c r="O282" s="208"/>
    </row>
    <row r="283" spans="1:15" ht="14.25" customHeight="1" x14ac:dyDescent="0.3">
      <c r="A283" s="208"/>
      <c r="J283" s="208"/>
      <c r="K283" s="208"/>
      <c r="N283" s="208"/>
      <c r="O283" s="208"/>
    </row>
    <row r="284" spans="1:15" ht="14.25" customHeight="1" x14ac:dyDescent="0.3">
      <c r="A284" s="208"/>
      <c r="J284" s="208"/>
      <c r="K284" s="208"/>
      <c r="N284" s="208"/>
      <c r="O284" s="208"/>
    </row>
    <row r="285" spans="1:15" ht="14.25" customHeight="1" x14ac:dyDescent="0.3">
      <c r="A285" s="208"/>
      <c r="J285" s="208"/>
      <c r="K285" s="208"/>
      <c r="N285" s="208"/>
      <c r="O285" s="208"/>
    </row>
    <row r="286" spans="1:15" ht="14.25" customHeight="1" x14ac:dyDescent="0.3">
      <c r="A286" s="208"/>
      <c r="J286" s="208"/>
      <c r="K286" s="208"/>
      <c r="N286" s="208"/>
      <c r="O286" s="208"/>
    </row>
    <row r="287" spans="1:15" ht="14.25" customHeight="1" x14ac:dyDescent="0.3">
      <c r="A287" s="208"/>
      <c r="J287" s="208"/>
      <c r="K287" s="208"/>
      <c r="N287" s="208"/>
      <c r="O287" s="208"/>
    </row>
    <row r="288" spans="1:15" ht="14.25" customHeight="1" x14ac:dyDescent="0.3">
      <c r="A288" s="208"/>
      <c r="J288" s="208"/>
      <c r="K288" s="208"/>
      <c r="N288" s="208"/>
      <c r="O288" s="208"/>
    </row>
    <row r="289" spans="1:15" ht="14.25" customHeight="1" x14ac:dyDescent="0.3">
      <c r="A289" s="208"/>
      <c r="J289" s="208"/>
      <c r="K289" s="208"/>
      <c r="N289" s="208"/>
      <c r="O289" s="208"/>
    </row>
    <row r="290" spans="1:15" ht="14.25" customHeight="1" x14ac:dyDescent="0.3">
      <c r="A290" s="208"/>
      <c r="J290" s="208"/>
      <c r="K290" s="208"/>
      <c r="N290" s="208"/>
      <c r="O290" s="208"/>
    </row>
    <row r="291" spans="1:15" ht="14.25" customHeight="1" x14ac:dyDescent="0.3">
      <c r="A291" s="208"/>
      <c r="J291" s="208"/>
      <c r="K291" s="208"/>
      <c r="N291" s="208"/>
      <c r="O291" s="208"/>
    </row>
    <row r="292" spans="1:15" ht="14.25" customHeight="1" x14ac:dyDescent="0.3">
      <c r="A292" s="208"/>
      <c r="J292" s="208"/>
      <c r="K292" s="208"/>
      <c r="N292" s="208"/>
      <c r="O292" s="208"/>
    </row>
    <row r="293" spans="1:15" ht="14.25" customHeight="1" x14ac:dyDescent="0.3">
      <c r="A293" s="208"/>
      <c r="J293" s="208"/>
      <c r="K293" s="208"/>
      <c r="N293" s="208"/>
      <c r="O293" s="208"/>
    </row>
    <row r="294" spans="1:15" ht="14.25" customHeight="1" x14ac:dyDescent="0.3">
      <c r="A294" s="208"/>
      <c r="J294" s="208"/>
      <c r="K294" s="208"/>
      <c r="N294" s="208"/>
      <c r="O294" s="208"/>
    </row>
    <row r="295" spans="1:15" ht="14.25" customHeight="1" x14ac:dyDescent="0.3">
      <c r="A295" s="208"/>
      <c r="J295" s="208"/>
      <c r="K295" s="208"/>
      <c r="N295" s="208"/>
      <c r="O295" s="208"/>
    </row>
    <row r="296" spans="1:15" ht="14.25" customHeight="1" x14ac:dyDescent="0.3">
      <c r="A296" s="208"/>
      <c r="J296" s="208"/>
      <c r="K296" s="208"/>
      <c r="N296" s="208"/>
      <c r="O296" s="208"/>
    </row>
    <row r="297" spans="1:15" ht="14.25" customHeight="1" x14ac:dyDescent="0.3">
      <c r="A297" s="208"/>
      <c r="J297" s="208"/>
      <c r="K297" s="208"/>
      <c r="N297" s="208"/>
      <c r="O297" s="208"/>
    </row>
    <row r="298" spans="1:15" ht="14.25" customHeight="1" x14ac:dyDescent="0.3">
      <c r="A298" s="208"/>
      <c r="J298" s="208"/>
      <c r="K298" s="208"/>
      <c r="N298" s="208"/>
      <c r="O298" s="208"/>
    </row>
    <row r="299" spans="1:15" ht="14.25" customHeight="1" x14ac:dyDescent="0.3">
      <c r="A299" s="208"/>
      <c r="J299" s="208"/>
      <c r="K299" s="208"/>
      <c r="N299" s="208"/>
      <c r="O299" s="208"/>
    </row>
    <row r="300" spans="1:15" ht="14.25" customHeight="1" x14ac:dyDescent="0.3">
      <c r="A300" s="208"/>
      <c r="J300" s="208"/>
      <c r="K300" s="208"/>
      <c r="N300" s="208"/>
      <c r="O300" s="208"/>
    </row>
    <row r="301" spans="1:15" ht="14.25" customHeight="1" x14ac:dyDescent="0.3">
      <c r="A301" s="208"/>
      <c r="J301" s="208"/>
      <c r="K301" s="208"/>
      <c r="N301" s="208"/>
      <c r="O301" s="208"/>
    </row>
    <row r="302" spans="1:15" ht="14.25" customHeight="1" x14ac:dyDescent="0.3">
      <c r="A302" s="208"/>
      <c r="J302" s="208"/>
      <c r="K302" s="208"/>
      <c r="N302" s="208"/>
      <c r="O302" s="208"/>
    </row>
    <row r="303" spans="1:15" ht="14.25" customHeight="1" x14ac:dyDescent="0.3">
      <c r="A303" s="208"/>
      <c r="J303" s="208"/>
      <c r="K303" s="208"/>
      <c r="N303" s="208"/>
      <c r="O303" s="208"/>
    </row>
    <row r="304" spans="1:15" ht="14.25" customHeight="1" x14ac:dyDescent="0.3">
      <c r="A304" s="208"/>
      <c r="J304" s="208"/>
      <c r="K304" s="208"/>
      <c r="N304" s="208"/>
      <c r="O304" s="208"/>
    </row>
    <row r="305" spans="1:15" ht="14.25" customHeight="1" x14ac:dyDescent="0.3">
      <c r="A305" s="208"/>
      <c r="J305" s="208"/>
      <c r="K305" s="208"/>
      <c r="N305" s="208"/>
      <c r="O305" s="208"/>
    </row>
    <row r="306" spans="1:15" ht="14.25" customHeight="1" x14ac:dyDescent="0.3">
      <c r="A306" s="208"/>
      <c r="J306" s="208"/>
      <c r="K306" s="208"/>
      <c r="N306" s="208"/>
      <c r="O306" s="208"/>
    </row>
    <row r="307" spans="1:15" ht="14.25" customHeight="1" x14ac:dyDescent="0.3">
      <c r="A307" s="208"/>
      <c r="J307" s="208"/>
      <c r="K307" s="208"/>
      <c r="N307" s="208"/>
      <c r="O307" s="208"/>
    </row>
    <row r="308" spans="1:15" ht="14.25" customHeight="1" x14ac:dyDescent="0.3">
      <c r="A308" s="208"/>
      <c r="J308" s="208"/>
      <c r="K308" s="208"/>
      <c r="N308" s="208"/>
      <c r="O308" s="208"/>
    </row>
    <row r="309" spans="1:15" ht="14.25" customHeight="1" x14ac:dyDescent="0.3">
      <c r="A309" s="208"/>
      <c r="J309" s="208"/>
      <c r="K309" s="208"/>
      <c r="N309" s="208"/>
      <c r="O309" s="208"/>
    </row>
    <row r="310" spans="1:15" ht="14.25" customHeight="1" x14ac:dyDescent="0.3">
      <c r="A310" s="208"/>
      <c r="J310" s="208"/>
      <c r="K310" s="208"/>
      <c r="N310" s="208"/>
      <c r="O310" s="208"/>
    </row>
    <row r="311" spans="1:15" ht="14.25" customHeight="1" x14ac:dyDescent="0.3">
      <c r="A311" s="208"/>
      <c r="J311" s="208"/>
      <c r="K311" s="208"/>
      <c r="N311" s="208"/>
      <c r="O311" s="208"/>
    </row>
    <row r="312" spans="1:15" ht="14.25" customHeight="1" x14ac:dyDescent="0.3">
      <c r="A312" s="208"/>
      <c r="J312" s="208"/>
      <c r="K312" s="208"/>
      <c r="N312" s="208"/>
      <c r="O312" s="208"/>
    </row>
    <row r="313" spans="1:15" ht="14.25" customHeight="1" x14ac:dyDescent="0.3">
      <c r="A313" s="208"/>
      <c r="J313" s="208"/>
      <c r="K313" s="208"/>
      <c r="N313" s="208"/>
      <c r="O313" s="208"/>
    </row>
    <row r="314" spans="1:15" ht="14.25" customHeight="1" x14ac:dyDescent="0.3">
      <c r="A314" s="208"/>
      <c r="J314" s="208"/>
      <c r="K314" s="208"/>
      <c r="N314" s="208"/>
      <c r="O314" s="208"/>
    </row>
    <row r="315" spans="1:15" ht="14.25" customHeight="1" x14ac:dyDescent="0.3">
      <c r="A315" s="208"/>
      <c r="J315" s="208"/>
      <c r="K315" s="208"/>
      <c r="N315" s="208"/>
      <c r="O315" s="208"/>
    </row>
    <row r="316" spans="1:15" ht="14.25" customHeight="1" x14ac:dyDescent="0.3">
      <c r="A316" s="208"/>
      <c r="J316" s="208"/>
      <c r="K316" s="208"/>
      <c r="N316" s="208"/>
      <c r="O316" s="208"/>
    </row>
    <row r="317" spans="1:15" ht="14.25" customHeight="1" x14ac:dyDescent="0.3">
      <c r="A317" s="208"/>
      <c r="J317" s="208"/>
      <c r="K317" s="208"/>
      <c r="N317" s="208"/>
      <c r="O317" s="208"/>
    </row>
    <row r="318" spans="1:15" ht="14.25" customHeight="1" x14ac:dyDescent="0.3">
      <c r="A318" s="208"/>
      <c r="J318" s="208"/>
      <c r="K318" s="208"/>
      <c r="N318" s="208"/>
      <c r="O318" s="208"/>
    </row>
    <row r="319" spans="1:15" ht="14.25" customHeight="1" x14ac:dyDescent="0.3">
      <c r="A319" s="208"/>
      <c r="J319" s="208"/>
      <c r="K319" s="208"/>
      <c r="N319" s="208"/>
      <c r="O319" s="208"/>
    </row>
    <row r="320" spans="1:15" ht="14.25" customHeight="1" x14ac:dyDescent="0.3">
      <c r="A320" s="208"/>
      <c r="J320" s="208"/>
      <c r="K320" s="208"/>
      <c r="N320" s="208"/>
      <c r="O320" s="208"/>
    </row>
    <row r="321" spans="1:15" ht="14.25" customHeight="1" x14ac:dyDescent="0.3">
      <c r="A321" s="208"/>
      <c r="J321" s="208"/>
      <c r="K321" s="208"/>
      <c r="N321" s="208"/>
      <c r="O321" s="208"/>
    </row>
    <row r="322" spans="1:15" ht="14.25" customHeight="1" x14ac:dyDescent="0.3">
      <c r="A322" s="208"/>
      <c r="J322" s="208"/>
      <c r="K322" s="208"/>
      <c r="N322" s="208"/>
      <c r="O322" s="208"/>
    </row>
    <row r="323" spans="1:15" ht="14.25" customHeight="1" x14ac:dyDescent="0.3">
      <c r="A323" s="208"/>
      <c r="J323" s="208"/>
      <c r="K323" s="208"/>
      <c r="N323" s="208"/>
      <c r="O323" s="208"/>
    </row>
    <row r="324" spans="1:15" ht="14.25" customHeight="1" x14ac:dyDescent="0.3">
      <c r="A324" s="208"/>
      <c r="J324" s="208"/>
      <c r="K324" s="208"/>
      <c r="N324" s="208"/>
      <c r="O324" s="208"/>
    </row>
    <row r="325" spans="1:15" ht="14.25" customHeight="1" x14ac:dyDescent="0.3">
      <c r="A325" s="208"/>
      <c r="J325" s="208"/>
      <c r="K325" s="208"/>
      <c r="N325" s="208"/>
      <c r="O325" s="208"/>
    </row>
    <row r="326" spans="1:15" ht="14.25" customHeight="1" x14ac:dyDescent="0.3">
      <c r="A326" s="208"/>
      <c r="J326" s="208"/>
      <c r="K326" s="208"/>
      <c r="N326" s="208"/>
      <c r="O326" s="208"/>
    </row>
    <row r="327" spans="1:15" ht="14.25" customHeight="1" x14ac:dyDescent="0.3">
      <c r="A327" s="208"/>
      <c r="J327" s="208"/>
      <c r="K327" s="208"/>
      <c r="N327" s="208"/>
      <c r="O327" s="208"/>
    </row>
    <row r="328" spans="1:15" ht="14.25" customHeight="1" x14ac:dyDescent="0.3">
      <c r="A328" s="208"/>
      <c r="J328" s="208"/>
      <c r="K328" s="208"/>
      <c r="N328" s="208"/>
      <c r="O328" s="208"/>
    </row>
    <row r="329" spans="1:15" ht="14.25" customHeight="1" x14ac:dyDescent="0.3">
      <c r="A329" s="208"/>
      <c r="J329" s="208"/>
      <c r="K329" s="208"/>
      <c r="N329" s="208"/>
      <c r="O329" s="208"/>
    </row>
    <row r="330" spans="1:15" ht="14.25" customHeight="1" x14ac:dyDescent="0.3">
      <c r="A330" s="208"/>
      <c r="J330" s="208"/>
      <c r="K330" s="208"/>
      <c r="N330" s="208"/>
      <c r="O330" s="208"/>
    </row>
    <row r="331" spans="1:15" ht="14.25" customHeight="1" x14ac:dyDescent="0.3">
      <c r="A331" s="208"/>
      <c r="J331" s="208"/>
      <c r="K331" s="208"/>
      <c r="N331" s="208"/>
      <c r="O331" s="208"/>
    </row>
    <row r="332" spans="1:15" ht="14.25" customHeight="1" x14ac:dyDescent="0.3">
      <c r="A332" s="208"/>
      <c r="J332" s="208"/>
      <c r="K332" s="208"/>
      <c r="N332" s="208"/>
      <c r="O332" s="208"/>
    </row>
    <row r="333" spans="1:15" ht="14.25" customHeight="1" x14ac:dyDescent="0.3">
      <c r="A333" s="208"/>
      <c r="J333" s="208"/>
      <c r="K333" s="208"/>
      <c r="N333" s="208"/>
      <c r="O333" s="208"/>
    </row>
    <row r="334" spans="1:15" ht="14.25" customHeight="1" x14ac:dyDescent="0.3">
      <c r="A334" s="208"/>
      <c r="J334" s="208"/>
      <c r="K334" s="208"/>
      <c r="N334" s="208"/>
      <c r="O334" s="208"/>
    </row>
    <row r="335" spans="1:15" ht="14.25" customHeight="1" x14ac:dyDescent="0.3">
      <c r="A335" s="208"/>
      <c r="J335" s="208"/>
      <c r="K335" s="208"/>
      <c r="N335" s="208"/>
      <c r="O335" s="208"/>
    </row>
    <row r="336" spans="1:15" ht="14.25" customHeight="1" x14ac:dyDescent="0.3">
      <c r="A336" s="208"/>
      <c r="J336" s="208"/>
      <c r="K336" s="208"/>
      <c r="N336" s="208"/>
      <c r="O336" s="208"/>
    </row>
    <row r="337" spans="1:15" ht="14.25" customHeight="1" x14ac:dyDescent="0.3">
      <c r="A337" s="208"/>
      <c r="J337" s="208"/>
      <c r="K337" s="208"/>
      <c r="N337" s="208"/>
      <c r="O337" s="208"/>
    </row>
    <row r="338" spans="1:15" ht="14.25" customHeight="1" x14ac:dyDescent="0.3">
      <c r="A338" s="208"/>
      <c r="J338" s="208"/>
      <c r="K338" s="208"/>
      <c r="N338" s="208"/>
      <c r="O338" s="208"/>
    </row>
    <row r="339" spans="1:15" ht="14.25" customHeight="1" x14ac:dyDescent="0.3">
      <c r="A339" s="208"/>
      <c r="J339" s="208"/>
      <c r="K339" s="208"/>
      <c r="N339" s="208"/>
      <c r="O339" s="208"/>
    </row>
    <row r="340" spans="1:15" ht="14.25" customHeight="1" x14ac:dyDescent="0.3">
      <c r="A340" s="208"/>
      <c r="J340" s="208"/>
      <c r="K340" s="208"/>
      <c r="N340" s="208"/>
      <c r="O340" s="208"/>
    </row>
    <row r="341" spans="1:15" ht="14.25" customHeight="1" x14ac:dyDescent="0.3">
      <c r="A341" s="208"/>
      <c r="J341" s="208"/>
      <c r="K341" s="208"/>
      <c r="N341" s="208"/>
      <c r="O341" s="208"/>
    </row>
    <row r="342" spans="1:15" ht="14.25" customHeight="1" x14ac:dyDescent="0.3">
      <c r="A342" s="208"/>
      <c r="J342" s="208"/>
      <c r="K342" s="208"/>
      <c r="N342" s="208"/>
      <c r="O342" s="208"/>
    </row>
    <row r="343" spans="1:15" ht="14.25" customHeight="1" x14ac:dyDescent="0.3">
      <c r="A343" s="208"/>
      <c r="J343" s="208"/>
      <c r="K343" s="208"/>
      <c r="N343" s="208"/>
      <c r="O343" s="208"/>
    </row>
    <row r="344" spans="1:15" ht="14.25" customHeight="1" x14ac:dyDescent="0.3">
      <c r="A344" s="208"/>
      <c r="J344" s="208"/>
      <c r="K344" s="208"/>
      <c r="N344" s="208"/>
      <c r="O344" s="208"/>
    </row>
    <row r="345" spans="1:15" ht="14.25" customHeight="1" x14ac:dyDescent="0.3">
      <c r="A345" s="208"/>
      <c r="J345" s="208"/>
      <c r="K345" s="208"/>
      <c r="N345" s="208"/>
      <c r="O345" s="208"/>
    </row>
    <row r="346" spans="1:15" ht="14.25" customHeight="1" x14ac:dyDescent="0.3">
      <c r="A346" s="208"/>
      <c r="J346" s="208"/>
      <c r="K346" s="208"/>
      <c r="N346" s="208"/>
      <c r="O346" s="208"/>
    </row>
    <row r="347" spans="1:15" ht="14.25" customHeight="1" x14ac:dyDescent="0.3">
      <c r="A347" s="208"/>
      <c r="J347" s="208"/>
      <c r="K347" s="208"/>
      <c r="N347" s="208"/>
      <c r="O347" s="208"/>
    </row>
    <row r="348" spans="1:15" ht="14.25" customHeight="1" x14ac:dyDescent="0.3">
      <c r="A348" s="208"/>
      <c r="J348" s="208"/>
      <c r="K348" s="208"/>
      <c r="N348" s="208"/>
      <c r="O348" s="208"/>
    </row>
    <row r="349" spans="1:15" ht="14.25" customHeight="1" x14ac:dyDescent="0.3">
      <c r="A349" s="208"/>
      <c r="J349" s="208"/>
      <c r="K349" s="208"/>
      <c r="N349" s="208"/>
      <c r="O349" s="208"/>
    </row>
    <row r="350" spans="1:15" ht="14.25" customHeight="1" x14ac:dyDescent="0.3">
      <c r="A350" s="208"/>
      <c r="J350" s="208"/>
      <c r="K350" s="208"/>
      <c r="N350" s="208"/>
      <c r="O350" s="208"/>
    </row>
    <row r="351" spans="1:15" ht="14.25" customHeight="1" x14ac:dyDescent="0.3">
      <c r="A351" s="208"/>
      <c r="J351" s="208"/>
      <c r="K351" s="208"/>
      <c r="N351" s="208"/>
      <c r="O351" s="208"/>
    </row>
    <row r="352" spans="1:15" ht="14.25" customHeight="1" x14ac:dyDescent="0.3">
      <c r="A352" s="208"/>
      <c r="J352" s="208"/>
      <c r="K352" s="208"/>
      <c r="N352" s="208"/>
      <c r="O352" s="208"/>
    </row>
    <row r="353" spans="1:15" ht="14.25" customHeight="1" x14ac:dyDescent="0.3">
      <c r="A353" s="208"/>
      <c r="J353" s="208"/>
      <c r="K353" s="208"/>
      <c r="N353" s="208"/>
      <c r="O353" s="208"/>
    </row>
    <row r="354" spans="1:15" ht="14.25" customHeight="1" x14ac:dyDescent="0.3">
      <c r="A354" s="208"/>
      <c r="J354" s="208"/>
      <c r="K354" s="208"/>
      <c r="N354" s="208"/>
      <c r="O354" s="208"/>
    </row>
    <row r="355" spans="1:15" ht="14.25" customHeight="1" x14ac:dyDescent="0.3">
      <c r="A355" s="208"/>
      <c r="J355" s="208"/>
      <c r="K355" s="208"/>
      <c r="N355" s="208"/>
      <c r="O355" s="208"/>
    </row>
    <row r="356" spans="1:15" ht="14.25" customHeight="1" x14ac:dyDescent="0.3">
      <c r="A356" s="208"/>
      <c r="J356" s="208"/>
      <c r="K356" s="208"/>
      <c r="N356" s="208"/>
      <c r="O356" s="208"/>
    </row>
    <row r="357" spans="1:15" ht="14.25" customHeight="1" x14ac:dyDescent="0.3">
      <c r="A357" s="208"/>
      <c r="J357" s="208"/>
      <c r="K357" s="208"/>
      <c r="N357" s="208"/>
      <c r="O357" s="208"/>
    </row>
    <row r="358" spans="1:15" ht="14.25" customHeight="1" x14ac:dyDescent="0.3">
      <c r="A358" s="208"/>
      <c r="J358" s="208"/>
      <c r="K358" s="208"/>
      <c r="N358" s="208"/>
      <c r="O358" s="208"/>
    </row>
    <row r="359" spans="1:15" ht="14.25" customHeight="1" x14ac:dyDescent="0.3">
      <c r="A359" s="208"/>
      <c r="J359" s="208"/>
      <c r="K359" s="208"/>
      <c r="N359" s="208"/>
      <c r="O359" s="208"/>
    </row>
    <row r="360" spans="1:15" ht="14.25" customHeight="1" x14ac:dyDescent="0.3">
      <c r="A360" s="208"/>
      <c r="J360" s="208"/>
      <c r="K360" s="208"/>
      <c r="N360" s="208"/>
      <c r="O360" s="208"/>
    </row>
    <row r="361" spans="1:15" ht="14.25" customHeight="1" x14ac:dyDescent="0.3">
      <c r="A361" s="208"/>
      <c r="J361" s="208"/>
      <c r="K361" s="208"/>
      <c r="N361" s="208"/>
      <c r="O361" s="208"/>
    </row>
    <row r="362" spans="1:15" ht="14.25" customHeight="1" x14ac:dyDescent="0.3">
      <c r="A362" s="208"/>
      <c r="J362" s="208"/>
      <c r="K362" s="208"/>
      <c r="N362" s="208"/>
      <c r="O362" s="208"/>
    </row>
    <row r="363" spans="1:15" ht="14.25" customHeight="1" x14ac:dyDescent="0.3">
      <c r="A363" s="208"/>
      <c r="J363" s="208"/>
      <c r="K363" s="208"/>
      <c r="N363" s="208"/>
      <c r="O363" s="208"/>
    </row>
    <row r="364" spans="1:15" ht="14.25" customHeight="1" x14ac:dyDescent="0.3">
      <c r="A364" s="208"/>
      <c r="J364" s="208"/>
      <c r="K364" s="208"/>
      <c r="N364" s="208"/>
      <c r="O364" s="208"/>
    </row>
    <row r="365" spans="1:15" ht="14.25" customHeight="1" x14ac:dyDescent="0.3">
      <c r="A365" s="208"/>
      <c r="J365" s="208"/>
      <c r="K365" s="208"/>
      <c r="N365" s="208"/>
      <c r="O365" s="208"/>
    </row>
    <row r="366" spans="1:15" ht="14.25" customHeight="1" x14ac:dyDescent="0.3">
      <c r="A366" s="208"/>
      <c r="J366" s="208"/>
      <c r="K366" s="208"/>
      <c r="N366" s="208"/>
      <c r="O366" s="208"/>
    </row>
    <row r="367" spans="1:15" ht="14.25" customHeight="1" x14ac:dyDescent="0.3">
      <c r="A367" s="208"/>
      <c r="J367" s="208"/>
      <c r="K367" s="208"/>
      <c r="N367" s="208"/>
      <c r="O367" s="208"/>
    </row>
    <row r="368" spans="1:15" ht="14.25" customHeight="1" x14ac:dyDescent="0.3">
      <c r="A368" s="208"/>
      <c r="J368" s="208"/>
      <c r="K368" s="208"/>
      <c r="N368" s="208"/>
      <c r="O368" s="208"/>
    </row>
    <row r="369" spans="1:15" ht="14.25" customHeight="1" x14ac:dyDescent="0.3">
      <c r="A369" s="208"/>
      <c r="J369" s="208"/>
      <c r="K369" s="208"/>
      <c r="N369" s="208"/>
      <c r="O369" s="208"/>
    </row>
    <row r="370" spans="1:15" ht="14.25" customHeight="1" x14ac:dyDescent="0.3">
      <c r="A370" s="208"/>
      <c r="J370" s="208"/>
      <c r="K370" s="208"/>
      <c r="N370" s="208"/>
      <c r="O370" s="208"/>
    </row>
    <row r="371" spans="1:15" ht="14.25" customHeight="1" x14ac:dyDescent="0.3">
      <c r="A371" s="208"/>
      <c r="J371" s="208"/>
      <c r="K371" s="208"/>
      <c r="N371" s="208"/>
      <c r="O371" s="208"/>
    </row>
    <row r="372" spans="1:15" ht="14.25" customHeight="1" x14ac:dyDescent="0.3">
      <c r="A372" s="208"/>
      <c r="J372" s="208"/>
      <c r="K372" s="208"/>
      <c r="N372" s="208"/>
      <c r="O372" s="208"/>
    </row>
    <row r="373" spans="1:15" ht="14.25" customHeight="1" x14ac:dyDescent="0.3">
      <c r="A373" s="208"/>
      <c r="J373" s="208"/>
      <c r="K373" s="208"/>
      <c r="N373" s="208"/>
      <c r="O373" s="208"/>
    </row>
    <row r="374" spans="1:15" ht="14.25" customHeight="1" x14ac:dyDescent="0.3">
      <c r="A374" s="208"/>
      <c r="J374" s="208"/>
      <c r="K374" s="208"/>
      <c r="N374" s="208"/>
      <c r="O374" s="208"/>
    </row>
    <row r="375" spans="1:15" ht="14.25" customHeight="1" x14ac:dyDescent="0.3">
      <c r="A375" s="208"/>
      <c r="J375" s="208"/>
      <c r="K375" s="208"/>
      <c r="N375" s="208"/>
      <c r="O375" s="208"/>
    </row>
    <row r="376" spans="1:15" ht="14.25" customHeight="1" x14ac:dyDescent="0.3">
      <c r="A376" s="208"/>
      <c r="J376" s="208"/>
      <c r="K376" s="208"/>
      <c r="N376" s="208"/>
      <c r="O376" s="208"/>
    </row>
    <row r="377" spans="1:15" ht="14.25" customHeight="1" x14ac:dyDescent="0.3">
      <c r="A377" s="208"/>
      <c r="J377" s="208"/>
      <c r="K377" s="208"/>
      <c r="N377" s="208"/>
      <c r="O377" s="208"/>
    </row>
    <row r="378" spans="1:15" ht="14.25" customHeight="1" x14ac:dyDescent="0.3">
      <c r="A378" s="208"/>
      <c r="J378" s="208"/>
      <c r="K378" s="208"/>
      <c r="N378" s="208"/>
      <c r="O378" s="208"/>
    </row>
    <row r="379" spans="1:15" ht="14.25" customHeight="1" x14ac:dyDescent="0.3">
      <c r="A379" s="208"/>
      <c r="J379" s="208"/>
      <c r="K379" s="208"/>
      <c r="N379" s="208"/>
      <c r="O379" s="208"/>
    </row>
    <row r="380" spans="1:15" ht="14.25" customHeight="1" x14ac:dyDescent="0.3">
      <c r="A380" s="208"/>
      <c r="J380" s="208"/>
      <c r="K380" s="208"/>
      <c r="N380" s="208"/>
      <c r="O380" s="208"/>
    </row>
    <row r="381" spans="1:15" ht="14.25" customHeight="1" x14ac:dyDescent="0.3">
      <c r="A381" s="208"/>
      <c r="J381" s="208"/>
      <c r="K381" s="208"/>
      <c r="N381" s="208"/>
      <c r="O381" s="208"/>
    </row>
    <row r="382" spans="1:15" ht="14.25" customHeight="1" x14ac:dyDescent="0.3">
      <c r="A382" s="208"/>
      <c r="J382" s="208"/>
      <c r="K382" s="208"/>
      <c r="N382" s="208"/>
      <c r="O382" s="208"/>
    </row>
    <row r="383" spans="1:15" ht="14.25" customHeight="1" x14ac:dyDescent="0.3">
      <c r="A383" s="208"/>
      <c r="J383" s="208"/>
      <c r="K383" s="208"/>
      <c r="N383" s="208"/>
      <c r="O383" s="208"/>
    </row>
    <row r="384" spans="1:15" ht="14.25" customHeight="1" x14ac:dyDescent="0.3">
      <c r="A384" s="208"/>
      <c r="J384" s="208"/>
      <c r="K384" s="208"/>
      <c r="N384" s="208"/>
      <c r="O384" s="208"/>
    </row>
    <row r="385" spans="1:15" ht="14.25" customHeight="1" x14ac:dyDescent="0.3">
      <c r="A385" s="208"/>
      <c r="J385" s="208"/>
      <c r="K385" s="208"/>
      <c r="N385" s="208"/>
      <c r="O385" s="208"/>
    </row>
    <row r="386" spans="1:15" ht="14.25" customHeight="1" x14ac:dyDescent="0.3">
      <c r="A386" s="208"/>
      <c r="J386" s="208"/>
      <c r="K386" s="208"/>
      <c r="N386" s="208"/>
      <c r="O386" s="208"/>
    </row>
    <row r="387" spans="1:15" ht="14.25" customHeight="1" x14ac:dyDescent="0.3">
      <c r="A387" s="208"/>
      <c r="J387" s="208"/>
      <c r="K387" s="208"/>
      <c r="N387" s="208"/>
      <c r="O387" s="208"/>
    </row>
    <row r="388" spans="1:15" ht="14.25" customHeight="1" x14ac:dyDescent="0.3">
      <c r="A388" s="208"/>
      <c r="J388" s="208"/>
      <c r="K388" s="208"/>
      <c r="N388" s="208"/>
      <c r="O388" s="208"/>
    </row>
    <row r="389" spans="1:15" ht="14.25" customHeight="1" x14ac:dyDescent="0.3">
      <c r="A389" s="208"/>
      <c r="J389" s="208"/>
      <c r="K389" s="208"/>
      <c r="N389" s="208"/>
      <c r="O389" s="208"/>
    </row>
    <row r="390" spans="1:15" ht="14.25" customHeight="1" x14ac:dyDescent="0.3">
      <c r="A390" s="208"/>
      <c r="J390" s="208"/>
      <c r="K390" s="208"/>
      <c r="N390" s="208"/>
      <c r="O390" s="208"/>
    </row>
    <row r="391" spans="1:15" ht="14.25" customHeight="1" x14ac:dyDescent="0.3">
      <c r="A391" s="208"/>
      <c r="J391" s="208"/>
      <c r="K391" s="208"/>
      <c r="N391" s="208"/>
      <c r="O391" s="208"/>
    </row>
    <row r="392" spans="1:15" ht="14.25" customHeight="1" x14ac:dyDescent="0.3">
      <c r="A392" s="208"/>
      <c r="J392" s="208"/>
      <c r="K392" s="208"/>
      <c r="N392" s="208"/>
      <c r="O392" s="208"/>
    </row>
    <row r="393" spans="1:15" ht="14.25" customHeight="1" x14ac:dyDescent="0.3">
      <c r="A393" s="208"/>
      <c r="J393" s="208"/>
      <c r="K393" s="208"/>
      <c r="N393" s="208"/>
      <c r="O393" s="208"/>
    </row>
    <row r="394" spans="1:15" ht="14.25" customHeight="1" x14ac:dyDescent="0.3">
      <c r="A394" s="208"/>
      <c r="J394" s="208"/>
      <c r="K394" s="208"/>
      <c r="N394" s="208"/>
      <c r="O394" s="208"/>
    </row>
    <row r="395" spans="1:15" ht="14.25" customHeight="1" x14ac:dyDescent="0.3">
      <c r="A395" s="208"/>
      <c r="J395" s="208"/>
      <c r="K395" s="208"/>
      <c r="N395" s="208"/>
      <c r="O395" s="208"/>
    </row>
    <row r="396" spans="1:15" ht="14.25" customHeight="1" x14ac:dyDescent="0.3">
      <c r="A396" s="208"/>
      <c r="J396" s="208"/>
      <c r="K396" s="208"/>
      <c r="N396" s="208"/>
      <c r="O396" s="208"/>
    </row>
    <row r="397" spans="1:15" ht="14.25" customHeight="1" x14ac:dyDescent="0.3">
      <c r="A397" s="208"/>
      <c r="J397" s="208"/>
      <c r="K397" s="208"/>
      <c r="N397" s="208"/>
      <c r="O397" s="208"/>
    </row>
    <row r="398" spans="1:15" ht="14.25" customHeight="1" x14ac:dyDescent="0.3">
      <c r="A398" s="208"/>
      <c r="J398" s="208"/>
      <c r="K398" s="208"/>
      <c r="N398" s="208"/>
      <c r="O398" s="208"/>
    </row>
    <row r="399" spans="1:15" ht="14.25" customHeight="1" x14ac:dyDescent="0.3">
      <c r="A399" s="208"/>
      <c r="J399" s="208"/>
      <c r="K399" s="208"/>
      <c r="N399" s="208"/>
      <c r="O399" s="208"/>
    </row>
    <row r="400" spans="1:15" ht="14.25" customHeight="1" x14ac:dyDescent="0.3">
      <c r="A400" s="208"/>
      <c r="J400" s="208"/>
      <c r="K400" s="208"/>
      <c r="N400" s="208"/>
      <c r="O400" s="208"/>
    </row>
    <row r="401" spans="1:15" ht="14.25" customHeight="1" x14ac:dyDescent="0.3">
      <c r="A401" s="208"/>
      <c r="J401" s="208"/>
      <c r="K401" s="208"/>
      <c r="N401" s="208"/>
      <c r="O401" s="208"/>
    </row>
    <row r="402" spans="1:15" ht="14.25" customHeight="1" x14ac:dyDescent="0.3">
      <c r="A402" s="208"/>
      <c r="J402" s="208"/>
      <c r="K402" s="208"/>
      <c r="N402" s="208"/>
      <c r="O402" s="208"/>
    </row>
    <row r="403" spans="1:15" ht="14.25" customHeight="1" x14ac:dyDescent="0.3">
      <c r="A403" s="208"/>
      <c r="J403" s="208"/>
      <c r="K403" s="208"/>
      <c r="N403" s="208"/>
      <c r="O403" s="208"/>
    </row>
    <row r="404" spans="1:15" ht="14.25" customHeight="1" x14ac:dyDescent="0.3">
      <c r="A404" s="208"/>
      <c r="J404" s="208"/>
      <c r="K404" s="208"/>
      <c r="N404" s="208"/>
      <c r="O404" s="208"/>
    </row>
    <row r="405" spans="1:15" ht="14.25" customHeight="1" x14ac:dyDescent="0.3">
      <c r="A405" s="208"/>
      <c r="J405" s="208"/>
      <c r="K405" s="208"/>
      <c r="N405" s="208"/>
      <c r="O405" s="208"/>
    </row>
    <row r="406" spans="1:15" ht="14.25" customHeight="1" x14ac:dyDescent="0.3">
      <c r="A406" s="208"/>
      <c r="J406" s="208"/>
      <c r="K406" s="208"/>
      <c r="N406" s="208"/>
      <c r="O406" s="208"/>
    </row>
    <row r="407" spans="1:15" ht="14.25" customHeight="1" x14ac:dyDescent="0.3">
      <c r="A407" s="208"/>
      <c r="J407" s="208"/>
      <c r="K407" s="208"/>
      <c r="N407" s="208"/>
      <c r="O407" s="208"/>
    </row>
    <row r="408" spans="1:15" ht="14.25" customHeight="1" x14ac:dyDescent="0.3">
      <c r="A408" s="208"/>
      <c r="J408" s="208"/>
      <c r="K408" s="208"/>
      <c r="N408" s="208"/>
      <c r="O408" s="208"/>
    </row>
    <row r="409" spans="1:15" ht="14.25" customHeight="1" x14ac:dyDescent="0.3">
      <c r="A409" s="208"/>
      <c r="J409" s="208"/>
      <c r="K409" s="208"/>
      <c r="N409" s="208"/>
      <c r="O409" s="208"/>
    </row>
    <row r="410" spans="1:15" ht="14.25" customHeight="1" x14ac:dyDescent="0.3">
      <c r="A410" s="208"/>
      <c r="J410" s="208"/>
      <c r="K410" s="208"/>
      <c r="N410" s="208"/>
      <c r="O410" s="208"/>
    </row>
    <row r="411" spans="1:15" ht="14.25" customHeight="1" x14ac:dyDescent="0.3">
      <c r="A411" s="208"/>
      <c r="J411" s="208"/>
      <c r="K411" s="208"/>
      <c r="N411" s="208"/>
      <c r="O411" s="208"/>
    </row>
    <row r="412" spans="1:15" ht="14.25" customHeight="1" x14ac:dyDescent="0.3">
      <c r="A412" s="208"/>
      <c r="J412" s="208"/>
      <c r="K412" s="208"/>
      <c r="N412" s="208"/>
      <c r="O412" s="208"/>
    </row>
    <row r="413" spans="1:15" ht="14.25" customHeight="1" x14ac:dyDescent="0.3">
      <c r="A413" s="208"/>
      <c r="J413" s="208"/>
      <c r="K413" s="208"/>
      <c r="N413" s="208"/>
      <c r="O413" s="208"/>
    </row>
    <row r="414" spans="1:15" ht="14.25" customHeight="1" x14ac:dyDescent="0.3">
      <c r="A414" s="208"/>
      <c r="J414" s="208"/>
      <c r="K414" s="208"/>
      <c r="N414" s="208"/>
      <c r="O414" s="208"/>
    </row>
    <row r="415" spans="1:15" ht="14.25" customHeight="1" x14ac:dyDescent="0.3">
      <c r="A415" s="208"/>
      <c r="J415" s="208"/>
      <c r="K415" s="208"/>
      <c r="N415" s="208"/>
      <c r="O415" s="208"/>
    </row>
    <row r="416" spans="1:15" ht="14.25" customHeight="1" x14ac:dyDescent="0.3">
      <c r="A416" s="208"/>
      <c r="J416" s="208"/>
      <c r="K416" s="208"/>
      <c r="N416" s="208"/>
      <c r="O416" s="208"/>
    </row>
    <row r="417" spans="1:15" ht="14.25" customHeight="1" x14ac:dyDescent="0.3">
      <c r="A417" s="208"/>
      <c r="J417" s="208"/>
      <c r="K417" s="208"/>
      <c r="N417" s="208"/>
      <c r="O417" s="208"/>
    </row>
    <row r="418" spans="1:15" ht="14.25" customHeight="1" x14ac:dyDescent="0.3">
      <c r="A418" s="208"/>
      <c r="J418" s="208"/>
      <c r="K418" s="208"/>
      <c r="N418" s="208"/>
      <c r="O418" s="208"/>
    </row>
    <row r="419" spans="1:15" ht="14.25" customHeight="1" x14ac:dyDescent="0.3">
      <c r="A419" s="208"/>
      <c r="J419" s="208"/>
      <c r="K419" s="208"/>
      <c r="N419" s="208"/>
      <c r="O419" s="208"/>
    </row>
    <row r="420" spans="1:15" ht="14.25" customHeight="1" x14ac:dyDescent="0.3">
      <c r="A420" s="208"/>
      <c r="J420" s="208"/>
      <c r="K420" s="208"/>
      <c r="N420" s="208"/>
      <c r="O420" s="208"/>
    </row>
    <row r="421" spans="1:15" ht="14.25" customHeight="1" x14ac:dyDescent="0.3">
      <c r="A421" s="208"/>
      <c r="J421" s="208"/>
      <c r="K421" s="208"/>
      <c r="N421" s="208"/>
      <c r="O421" s="208"/>
    </row>
    <row r="422" spans="1:15" ht="14.25" customHeight="1" x14ac:dyDescent="0.3">
      <c r="A422" s="208"/>
      <c r="J422" s="208"/>
      <c r="K422" s="208"/>
      <c r="N422" s="208"/>
      <c r="O422" s="208"/>
    </row>
    <row r="423" spans="1:15" ht="14.25" customHeight="1" x14ac:dyDescent="0.3">
      <c r="A423" s="208"/>
      <c r="J423" s="208"/>
      <c r="K423" s="208"/>
      <c r="N423" s="208"/>
      <c r="O423" s="208"/>
    </row>
    <row r="424" spans="1:15" ht="14.25" customHeight="1" x14ac:dyDescent="0.3">
      <c r="A424" s="208"/>
      <c r="J424" s="208"/>
      <c r="K424" s="208"/>
      <c r="N424" s="208"/>
      <c r="O424" s="208"/>
    </row>
    <row r="425" spans="1:15" ht="14.25" customHeight="1" x14ac:dyDescent="0.3">
      <c r="A425" s="208"/>
      <c r="J425" s="208"/>
      <c r="K425" s="208"/>
      <c r="N425" s="208"/>
      <c r="O425" s="208"/>
    </row>
    <row r="426" spans="1:15" ht="14.25" customHeight="1" x14ac:dyDescent="0.3">
      <c r="A426" s="208"/>
      <c r="J426" s="208"/>
      <c r="K426" s="208"/>
      <c r="N426" s="208"/>
      <c r="O426" s="208"/>
    </row>
    <row r="427" spans="1:15" ht="14.25" customHeight="1" x14ac:dyDescent="0.3">
      <c r="A427" s="208"/>
      <c r="J427" s="208"/>
      <c r="K427" s="208"/>
      <c r="N427" s="208"/>
      <c r="O427" s="208"/>
    </row>
    <row r="428" spans="1:15" ht="14.25" customHeight="1" x14ac:dyDescent="0.3">
      <c r="A428" s="208"/>
      <c r="J428" s="208"/>
      <c r="K428" s="208"/>
      <c r="N428" s="208"/>
      <c r="O428" s="208"/>
    </row>
    <row r="429" spans="1:15" ht="14.25" customHeight="1" x14ac:dyDescent="0.3">
      <c r="A429" s="208"/>
      <c r="J429" s="208"/>
      <c r="K429" s="208"/>
      <c r="N429" s="208"/>
      <c r="O429" s="208"/>
    </row>
    <row r="430" spans="1:15" ht="14.25" customHeight="1" x14ac:dyDescent="0.3">
      <c r="A430" s="208"/>
      <c r="J430" s="208"/>
      <c r="K430" s="208"/>
      <c r="N430" s="208"/>
      <c r="O430" s="208"/>
    </row>
    <row r="431" spans="1:15" ht="14.25" customHeight="1" x14ac:dyDescent="0.3">
      <c r="A431" s="208"/>
      <c r="J431" s="208"/>
      <c r="K431" s="208"/>
      <c r="N431" s="208"/>
      <c r="O431" s="208"/>
    </row>
    <row r="432" spans="1:15" ht="14.25" customHeight="1" x14ac:dyDescent="0.3">
      <c r="A432" s="208"/>
      <c r="J432" s="208"/>
      <c r="K432" s="208"/>
      <c r="N432" s="208"/>
      <c r="O432" s="208"/>
    </row>
    <row r="433" spans="1:15" ht="14.25" customHeight="1" x14ac:dyDescent="0.3">
      <c r="A433" s="208"/>
      <c r="J433" s="208"/>
      <c r="K433" s="208"/>
      <c r="N433" s="208"/>
      <c r="O433" s="208"/>
    </row>
    <row r="434" spans="1:15" ht="14.25" customHeight="1" x14ac:dyDescent="0.3">
      <c r="A434" s="208"/>
      <c r="J434" s="208"/>
      <c r="K434" s="208"/>
      <c r="N434" s="208"/>
      <c r="O434" s="208"/>
    </row>
    <row r="435" spans="1:15" ht="14.25" customHeight="1" x14ac:dyDescent="0.3">
      <c r="A435" s="208"/>
      <c r="J435" s="208"/>
      <c r="K435" s="208"/>
      <c r="N435" s="208"/>
      <c r="O435" s="208"/>
    </row>
    <row r="436" spans="1:15" ht="14.25" customHeight="1" x14ac:dyDescent="0.3">
      <c r="A436" s="208"/>
      <c r="J436" s="208"/>
      <c r="K436" s="208"/>
      <c r="N436" s="208"/>
      <c r="O436" s="208"/>
    </row>
    <row r="437" spans="1:15" ht="14.25" customHeight="1" x14ac:dyDescent="0.3">
      <c r="A437" s="208"/>
      <c r="J437" s="208"/>
      <c r="K437" s="208"/>
      <c r="N437" s="208"/>
      <c r="O437" s="208"/>
    </row>
    <row r="438" spans="1:15" ht="14.25" customHeight="1" x14ac:dyDescent="0.3">
      <c r="A438" s="208"/>
      <c r="J438" s="208"/>
      <c r="K438" s="208"/>
      <c r="N438" s="208"/>
      <c r="O438" s="208"/>
    </row>
    <row r="439" spans="1:15" ht="14.25" customHeight="1" x14ac:dyDescent="0.3">
      <c r="A439" s="208"/>
      <c r="J439" s="208"/>
      <c r="K439" s="208"/>
      <c r="N439" s="208"/>
      <c r="O439" s="208"/>
    </row>
    <row r="440" spans="1:15" ht="14.25" customHeight="1" x14ac:dyDescent="0.3">
      <c r="A440" s="208"/>
      <c r="J440" s="208"/>
      <c r="K440" s="208"/>
      <c r="N440" s="208"/>
      <c r="O440" s="208"/>
    </row>
    <row r="441" spans="1:15" ht="14.25" customHeight="1" x14ac:dyDescent="0.3">
      <c r="A441" s="208"/>
      <c r="J441" s="208"/>
      <c r="K441" s="208"/>
      <c r="N441" s="208"/>
      <c r="O441" s="208"/>
    </row>
    <row r="442" spans="1:15" ht="14.25" customHeight="1" x14ac:dyDescent="0.3">
      <c r="A442" s="208"/>
      <c r="J442" s="208"/>
      <c r="K442" s="208"/>
      <c r="N442" s="208"/>
      <c r="O442" s="208"/>
    </row>
    <row r="443" spans="1:15" ht="14.25" customHeight="1" x14ac:dyDescent="0.3">
      <c r="A443" s="208"/>
      <c r="J443" s="208"/>
      <c r="K443" s="208"/>
      <c r="N443" s="208"/>
      <c r="O443" s="208"/>
    </row>
    <row r="444" spans="1:15" ht="14.25" customHeight="1" x14ac:dyDescent="0.3">
      <c r="A444" s="208"/>
      <c r="J444" s="208"/>
      <c r="K444" s="208"/>
      <c r="N444" s="208"/>
      <c r="O444" s="208"/>
    </row>
    <row r="445" spans="1:15" ht="14.25" customHeight="1" x14ac:dyDescent="0.3">
      <c r="A445" s="208"/>
      <c r="J445" s="208"/>
      <c r="K445" s="208"/>
      <c r="N445" s="208"/>
      <c r="O445" s="208"/>
    </row>
    <row r="446" spans="1:15" ht="14.25" customHeight="1" x14ac:dyDescent="0.3">
      <c r="A446" s="208"/>
      <c r="J446" s="208"/>
      <c r="K446" s="208"/>
      <c r="N446" s="208"/>
      <c r="O446" s="208"/>
    </row>
    <row r="447" spans="1:15" ht="14.25" customHeight="1" x14ac:dyDescent="0.3">
      <c r="A447" s="208"/>
      <c r="J447" s="208"/>
      <c r="K447" s="208"/>
      <c r="N447" s="208"/>
      <c r="O447" s="208"/>
    </row>
    <row r="448" spans="1:15" ht="14.25" customHeight="1" x14ac:dyDescent="0.3">
      <c r="A448" s="208"/>
      <c r="J448" s="208"/>
      <c r="K448" s="208"/>
      <c r="N448" s="208"/>
      <c r="O448" s="208"/>
    </row>
    <row r="449" spans="1:15" ht="14.25" customHeight="1" x14ac:dyDescent="0.3">
      <c r="A449" s="208"/>
      <c r="J449" s="208"/>
      <c r="K449" s="208"/>
      <c r="N449" s="208"/>
      <c r="O449" s="208"/>
    </row>
    <row r="450" spans="1:15" ht="14.25" customHeight="1" x14ac:dyDescent="0.3">
      <c r="A450" s="208"/>
      <c r="J450" s="208"/>
      <c r="K450" s="208"/>
      <c r="N450" s="208"/>
      <c r="O450" s="208"/>
    </row>
    <row r="451" spans="1:15" ht="14.25" customHeight="1" x14ac:dyDescent="0.3">
      <c r="A451" s="208"/>
      <c r="J451" s="208"/>
      <c r="K451" s="208"/>
      <c r="N451" s="208"/>
      <c r="O451" s="208"/>
    </row>
    <row r="452" spans="1:15" ht="14.25" customHeight="1" x14ac:dyDescent="0.3">
      <c r="A452" s="208"/>
      <c r="J452" s="208"/>
      <c r="K452" s="208"/>
      <c r="N452" s="208"/>
      <c r="O452" s="208"/>
    </row>
    <row r="453" spans="1:15" ht="14.25" customHeight="1" x14ac:dyDescent="0.3">
      <c r="A453" s="208"/>
      <c r="J453" s="208"/>
      <c r="K453" s="208"/>
      <c r="N453" s="208"/>
      <c r="O453" s="208"/>
    </row>
    <row r="454" spans="1:15" ht="14.25" customHeight="1" x14ac:dyDescent="0.3">
      <c r="A454" s="208"/>
      <c r="J454" s="208"/>
      <c r="K454" s="208"/>
      <c r="N454" s="208"/>
      <c r="O454" s="208"/>
    </row>
    <row r="455" spans="1:15" ht="14.25" customHeight="1" x14ac:dyDescent="0.3">
      <c r="A455" s="208"/>
      <c r="J455" s="208"/>
      <c r="K455" s="208"/>
      <c r="N455" s="208"/>
      <c r="O455" s="208"/>
    </row>
    <row r="456" spans="1:15" ht="14.25" customHeight="1" x14ac:dyDescent="0.3">
      <c r="A456" s="208"/>
      <c r="J456" s="208"/>
      <c r="K456" s="208"/>
      <c r="N456" s="208"/>
      <c r="O456" s="208"/>
    </row>
    <row r="457" spans="1:15" ht="14.25" customHeight="1" x14ac:dyDescent="0.3">
      <c r="A457" s="208"/>
      <c r="J457" s="208"/>
      <c r="K457" s="208"/>
      <c r="N457" s="208"/>
      <c r="O457" s="208"/>
    </row>
    <row r="458" spans="1:15" ht="14.25" customHeight="1" x14ac:dyDescent="0.3">
      <c r="A458" s="208"/>
      <c r="J458" s="208"/>
      <c r="K458" s="208"/>
      <c r="N458" s="208"/>
      <c r="O458" s="208"/>
    </row>
    <row r="459" spans="1:15" ht="14.25" customHeight="1" x14ac:dyDescent="0.3">
      <c r="A459" s="208"/>
      <c r="J459" s="208"/>
      <c r="K459" s="208"/>
      <c r="N459" s="208"/>
      <c r="O459" s="208"/>
    </row>
    <row r="460" spans="1:15" ht="14.25" customHeight="1" x14ac:dyDescent="0.3">
      <c r="A460" s="208"/>
      <c r="J460" s="208"/>
      <c r="K460" s="208"/>
      <c r="N460" s="208"/>
      <c r="O460" s="208"/>
    </row>
    <row r="461" spans="1:15" ht="14.25" customHeight="1" x14ac:dyDescent="0.3">
      <c r="A461" s="208"/>
      <c r="J461" s="208"/>
      <c r="K461" s="208"/>
      <c r="N461" s="208"/>
      <c r="O461" s="208"/>
    </row>
    <row r="462" spans="1:15" ht="14.25" customHeight="1" x14ac:dyDescent="0.3">
      <c r="A462" s="208"/>
      <c r="J462" s="208"/>
      <c r="K462" s="208"/>
      <c r="N462" s="208"/>
      <c r="O462" s="208"/>
    </row>
    <row r="463" spans="1:15" ht="14.25" customHeight="1" x14ac:dyDescent="0.3">
      <c r="A463" s="208"/>
      <c r="J463" s="208"/>
      <c r="K463" s="208"/>
      <c r="N463" s="208"/>
      <c r="O463" s="208"/>
    </row>
    <row r="464" spans="1:15" ht="14.25" customHeight="1" x14ac:dyDescent="0.3">
      <c r="A464" s="208"/>
      <c r="J464" s="208"/>
      <c r="K464" s="208"/>
      <c r="N464" s="208"/>
      <c r="O464" s="208"/>
    </row>
    <row r="465" spans="1:15" ht="14.25" customHeight="1" x14ac:dyDescent="0.3">
      <c r="A465" s="208"/>
      <c r="J465" s="208"/>
      <c r="K465" s="208"/>
      <c r="N465" s="208"/>
      <c r="O465" s="208"/>
    </row>
    <row r="466" spans="1:15" ht="14.25" customHeight="1" x14ac:dyDescent="0.3">
      <c r="A466" s="208"/>
      <c r="J466" s="208"/>
      <c r="K466" s="208"/>
      <c r="N466" s="208"/>
      <c r="O466" s="208"/>
    </row>
    <row r="467" spans="1:15" ht="14.25" customHeight="1" x14ac:dyDescent="0.3">
      <c r="A467" s="208"/>
      <c r="J467" s="208"/>
      <c r="K467" s="208"/>
      <c r="N467" s="208"/>
      <c r="O467" s="208"/>
    </row>
    <row r="468" spans="1:15" ht="14.25" customHeight="1" x14ac:dyDescent="0.3">
      <c r="A468" s="208"/>
      <c r="J468" s="208"/>
      <c r="K468" s="208"/>
      <c r="N468" s="208"/>
      <c r="O468" s="208"/>
    </row>
    <row r="469" spans="1:15" ht="14.25" customHeight="1" x14ac:dyDescent="0.3">
      <c r="A469" s="208"/>
      <c r="J469" s="208"/>
      <c r="K469" s="208"/>
      <c r="N469" s="208"/>
      <c r="O469" s="208"/>
    </row>
    <row r="470" spans="1:15" ht="14.25" customHeight="1" x14ac:dyDescent="0.3">
      <c r="A470" s="208"/>
      <c r="J470" s="208"/>
      <c r="K470" s="208"/>
      <c r="N470" s="208"/>
      <c r="O470" s="208"/>
    </row>
    <row r="471" spans="1:15" ht="14.25" customHeight="1" x14ac:dyDescent="0.3">
      <c r="A471" s="208"/>
      <c r="J471" s="208"/>
      <c r="K471" s="208"/>
      <c r="N471" s="208"/>
      <c r="O471" s="208"/>
    </row>
    <row r="472" spans="1:15" ht="14.25" customHeight="1" x14ac:dyDescent="0.3">
      <c r="A472" s="208"/>
      <c r="J472" s="208"/>
      <c r="K472" s="208"/>
      <c r="N472" s="208"/>
      <c r="O472" s="208"/>
    </row>
    <row r="473" spans="1:15" ht="14.25" customHeight="1" x14ac:dyDescent="0.3">
      <c r="A473" s="208"/>
      <c r="J473" s="208"/>
      <c r="K473" s="208"/>
      <c r="N473" s="208"/>
      <c r="O473" s="208"/>
    </row>
    <row r="474" spans="1:15" ht="14.25" customHeight="1" x14ac:dyDescent="0.3">
      <c r="A474" s="208"/>
      <c r="J474" s="208"/>
      <c r="K474" s="208"/>
      <c r="N474" s="208"/>
      <c r="O474" s="208"/>
    </row>
    <row r="475" spans="1:15" ht="14.25" customHeight="1" x14ac:dyDescent="0.3">
      <c r="A475" s="208"/>
      <c r="J475" s="208"/>
      <c r="K475" s="208"/>
      <c r="N475" s="208"/>
      <c r="O475" s="208"/>
    </row>
    <row r="476" spans="1:15" ht="14.25" customHeight="1" x14ac:dyDescent="0.3">
      <c r="A476" s="208"/>
      <c r="J476" s="208"/>
      <c r="K476" s="208"/>
      <c r="N476" s="208"/>
      <c r="O476" s="208"/>
    </row>
    <row r="477" spans="1:15" ht="14.25" customHeight="1" x14ac:dyDescent="0.3">
      <c r="A477" s="208"/>
      <c r="J477" s="208"/>
      <c r="K477" s="208"/>
      <c r="N477" s="208"/>
      <c r="O477" s="208"/>
    </row>
    <row r="478" spans="1:15" ht="14.25" customHeight="1" x14ac:dyDescent="0.3">
      <c r="A478" s="208"/>
      <c r="J478" s="208"/>
      <c r="K478" s="208"/>
      <c r="N478" s="208"/>
      <c r="O478" s="208"/>
    </row>
    <row r="479" spans="1:15" ht="14.25" customHeight="1" x14ac:dyDescent="0.3">
      <c r="A479" s="208"/>
      <c r="J479" s="208"/>
      <c r="K479" s="208"/>
      <c r="N479" s="208"/>
      <c r="O479" s="208"/>
    </row>
    <row r="480" spans="1:15" ht="14.25" customHeight="1" x14ac:dyDescent="0.3">
      <c r="A480" s="208"/>
      <c r="J480" s="208"/>
      <c r="K480" s="208"/>
      <c r="N480" s="208"/>
      <c r="O480" s="208"/>
    </row>
    <row r="481" spans="1:15" ht="14.25" customHeight="1" x14ac:dyDescent="0.3">
      <c r="A481" s="208"/>
      <c r="J481" s="208"/>
      <c r="K481" s="208"/>
      <c r="N481" s="208"/>
      <c r="O481" s="208"/>
    </row>
    <row r="482" spans="1:15" ht="14.25" customHeight="1" x14ac:dyDescent="0.3">
      <c r="A482" s="208"/>
      <c r="J482" s="208"/>
      <c r="K482" s="208"/>
      <c r="N482" s="208"/>
      <c r="O482" s="208"/>
    </row>
    <row r="483" spans="1:15" ht="14.25" customHeight="1" x14ac:dyDescent="0.3">
      <c r="A483" s="208"/>
      <c r="J483" s="208"/>
      <c r="K483" s="208"/>
      <c r="N483" s="208"/>
      <c r="O483" s="208"/>
    </row>
    <row r="484" spans="1:15" ht="14.25" customHeight="1" x14ac:dyDescent="0.3">
      <c r="A484" s="208"/>
      <c r="J484" s="208"/>
      <c r="K484" s="208"/>
      <c r="N484" s="208"/>
      <c r="O484" s="208"/>
    </row>
    <row r="485" spans="1:15" ht="14.25" customHeight="1" x14ac:dyDescent="0.3">
      <c r="A485" s="208"/>
      <c r="J485" s="208"/>
      <c r="K485" s="208"/>
      <c r="N485" s="208"/>
      <c r="O485" s="208"/>
    </row>
    <row r="486" spans="1:15" ht="14.25" customHeight="1" x14ac:dyDescent="0.3">
      <c r="A486" s="208"/>
      <c r="J486" s="208"/>
      <c r="K486" s="208"/>
      <c r="N486" s="208"/>
      <c r="O486" s="208"/>
    </row>
    <row r="487" spans="1:15" ht="14.25" customHeight="1" x14ac:dyDescent="0.3">
      <c r="A487" s="208"/>
      <c r="J487" s="208"/>
      <c r="K487" s="208"/>
      <c r="N487" s="208"/>
      <c r="O487" s="208"/>
    </row>
    <row r="488" spans="1:15" ht="14.25" customHeight="1" x14ac:dyDescent="0.3">
      <c r="A488" s="208"/>
      <c r="J488" s="208"/>
      <c r="K488" s="208"/>
      <c r="N488" s="208"/>
      <c r="O488" s="208"/>
    </row>
    <row r="489" spans="1:15" ht="14.25" customHeight="1" x14ac:dyDescent="0.3">
      <c r="A489" s="208"/>
      <c r="J489" s="208"/>
      <c r="K489" s="208"/>
      <c r="N489" s="208"/>
      <c r="O489" s="208"/>
    </row>
    <row r="490" spans="1:15" ht="14.25" customHeight="1" x14ac:dyDescent="0.3">
      <c r="A490" s="208"/>
      <c r="J490" s="208"/>
      <c r="K490" s="208"/>
      <c r="N490" s="208"/>
      <c r="O490" s="208"/>
    </row>
    <row r="491" spans="1:15" ht="14.25" customHeight="1" x14ac:dyDescent="0.3">
      <c r="A491" s="208"/>
      <c r="J491" s="208"/>
      <c r="K491" s="208"/>
      <c r="N491" s="208"/>
      <c r="O491" s="208"/>
    </row>
    <row r="492" spans="1:15" ht="14.25" customHeight="1" x14ac:dyDescent="0.3">
      <c r="A492" s="208"/>
      <c r="J492" s="208"/>
      <c r="K492" s="208"/>
      <c r="N492" s="208"/>
      <c r="O492" s="208"/>
    </row>
    <row r="493" spans="1:15" ht="14.25" customHeight="1" x14ac:dyDescent="0.3">
      <c r="A493" s="208"/>
      <c r="J493" s="208"/>
      <c r="K493" s="208"/>
      <c r="N493" s="208"/>
      <c r="O493" s="208"/>
    </row>
    <row r="494" spans="1:15" ht="14.25" customHeight="1" x14ac:dyDescent="0.3">
      <c r="A494" s="208"/>
      <c r="J494" s="208"/>
      <c r="K494" s="208"/>
      <c r="N494" s="208"/>
      <c r="O494" s="208"/>
    </row>
    <row r="495" spans="1:15" ht="14.25" customHeight="1" x14ac:dyDescent="0.3">
      <c r="A495" s="208"/>
      <c r="J495" s="208"/>
      <c r="K495" s="208"/>
      <c r="N495" s="208"/>
      <c r="O495" s="208"/>
    </row>
    <row r="496" spans="1:15" ht="14.25" customHeight="1" x14ac:dyDescent="0.3">
      <c r="A496" s="208"/>
      <c r="J496" s="208"/>
      <c r="K496" s="208"/>
      <c r="N496" s="208"/>
      <c r="O496" s="208"/>
    </row>
    <row r="497" spans="1:15" ht="14.25" customHeight="1" x14ac:dyDescent="0.3">
      <c r="A497" s="208"/>
      <c r="J497" s="208"/>
      <c r="K497" s="208"/>
      <c r="N497" s="208"/>
      <c r="O497" s="208"/>
    </row>
    <row r="498" spans="1:15" ht="14.25" customHeight="1" x14ac:dyDescent="0.3">
      <c r="A498" s="208"/>
      <c r="J498" s="208"/>
      <c r="K498" s="208"/>
      <c r="N498" s="208"/>
      <c r="O498" s="208"/>
    </row>
    <row r="499" spans="1:15" ht="14.25" customHeight="1" x14ac:dyDescent="0.3">
      <c r="A499" s="208"/>
      <c r="J499" s="208"/>
      <c r="K499" s="208"/>
      <c r="N499" s="208"/>
      <c r="O499" s="208"/>
    </row>
    <row r="500" spans="1:15" ht="14.25" customHeight="1" x14ac:dyDescent="0.3">
      <c r="A500" s="208"/>
      <c r="J500" s="208"/>
      <c r="K500" s="208"/>
      <c r="N500" s="208"/>
      <c r="O500" s="208"/>
    </row>
    <row r="501" spans="1:15" ht="14.25" customHeight="1" x14ac:dyDescent="0.3">
      <c r="A501" s="208"/>
      <c r="J501" s="208"/>
      <c r="K501" s="208"/>
      <c r="N501" s="208"/>
      <c r="O501" s="208"/>
    </row>
    <row r="502" spans="1:15" ht="14.25" customHeight="1" x14ac:dyDescent="0.3">
      <c r="A502" s="208"/>
      <c r="J502" s="208"/>
      <c r="K502" s="208"/>
      <c r="N502" s="208"/>
      <c r="O502" s="208"/>
    </row>
    <row r="503" spans="1:15" ht="14.25" customHeight="1" x14ac:dyDescent="0.3">
      <c r="A503" s="208"/>
      <c r="J503" s="208"/>
      <c r="K503" s="208"/>
      <c r="N503" s="208"/>
      <c r="O503" s="208"/>
    </row>
    <row r="504" spans="1:15" ht="14.25" customHeight="1" x14ac:dyDescent="0.3">
      <c r="A504" s="208"/>
      <c r="J504" s="208"/>
      <c r="K504" s="208"/>
      <c r="N504" s="208"/>
      <c r="O504" s="208"/>
    </row>
    <row r="505" spans="1:15" ht="14.25" customHeight="1" x14ac:dyDescent="0.3">
      <c r="A505" s="208"/>
      <c r="J505" s="208"/>
      <c r="K505" s="208"/>
      <c r="N505" s="208"/>
      <c r="O505" s="208"/>
    </row>
    <row r="506" spans="1:15" ht="14.25" customHeight="1" x14ac:dyDescent="0.3">
      <c r="A506" s="208"/>
      <c r="J506" s="208"/>
      <c r="K506" s="208"/>
      <c r="N506" s="208"/>
      <c r="O506" s="208"/>
    </row>
    <row r="507" spans="1:15" ht="14.25" customHeight="1" x14ac:dyDescent="0.3">
      <c r="A507" s="208"/>
      <c r="J507" s="208"/>
      <c r="K507" s="208"/>
      <c r="N507" s="208"/>
      <c r="O507" s="208"/>
    </row>
    <row r="508" spans="1:15" ht="14.25" customHeight="1" x14ac:dyDescent="0.3">
      <c r="A508" s="208"/>
      <c r="J508" s="208"/>
      <c r="K508" s="208"/>
      <c r="N508" s="208"/>
      <c r="O508" s="208"/>
    </row>
    <row r="509" spans="1:15" ht="14.25" customHeight="1" x14ac:dyDescent="0.3">
      <c r="A509" s="208"/>
      <c r="J509" s="208"/>
      <c r="K509" s="208"/>
      <c r="N509" s="208"/>
      <c r="O509" s="208"/>
    </row>
    <row r="510" spans="1:15" ht="14.25" customHeight="1" x14ac:dyDescent="0.3">
      <c r="A510" s="208"/>
      <c r="J510" s="208"/>
      <c r="K510" s="208"/>
      <c r="N510" s="208"/>
      <c r="O510" s="208"/>
    </row>
    <row r="511" spans="1:15" ht="14.25" customHeight="1" x14ac:dyDescent="0.3">
      <c r="A511" s="208"/>
      <c r="J511" s="208"/>
      <c r="K511" s="208"/>
      <c r="N511" s="208"/>
      <c r="O511" s="208"/>
    </row>
    <row r="512" spans="1:15" ht="14.25" customHeight="1" x14ac:dyDescent="0.3">
      <c r="A512" s="208"/>
      <c r="J512" s="208"/>
      <c r="K512" s="208"/>
      <c r="N512" s="208"/>
      <c r="O512" s="208"/>
    </row>
    <row r="513" spans="1:15" ht="14.25" customHeight="1" x14ac:dyDescent="0.3">
      <c r="A513" s="208"/>
      <c r="J513" s="208"/>
      <c r="K513" s="208"/>
      <c r="N513" s="208"/>
      <c r="O513" s="208"/>
    </row>
    <row r="514" spans="1:15" ht="14.25" customHeight="1" x14ac:dyDescent="0.3">
      <c r="A514" s="208"/>
      <c r="J514" s="208"/>
      <c r="K514" s="208"/>
      <c r="N514" s="208"/>
      <c r="O514" s="208"/>
    </row>
    <row r="515" spans="1:15" ht="14.25" customHeight="1" x14ac:dyDescent="0.3">
      <c r="A515" s="208"/>
      <c r="J515" s="208"/>
      <c r="K515" s="208"/>
      <c r="N515" s="208"/>
      <c r="O515" s="208"/>
    </row>
    <row r="516" spans="1:15" ht="14.25" customHeight="1" x14ac:dyDescent="0.3">
      <c r="A516" s="208"/>
      <c r="J516" s="208"/>
      <c r="K516" s="208"/>
      <c r="N516" s="208"/>
      <c r="O516" s="208"/>
    </row>
    <row r="517" spans="1:15" ht="14.25" customHeight="1" x14ac:dyDescent="0.3">
      <c r="A517" s="208"/>
      <c r="J517" s="208"/>
      <c r="K517" s="208"/>
      <c r="N517" s="208"/>
      <c r="O517" s="208"/>
    </row>
    <row r="518" spans="1:15" ht="14.25" customHeight="1" x14ac:dyDescent="0.3">
      <c r="A518" s="208"/>
      <c r="J518" s="208"/>
      <c r="K518" s="208"/>
      <c r="N518" s="208"/>
      <c r="O518" s="208"/>
    </row>
    <row r="519" spans="1:15" ht="14.25" customHeight="1" x14ac:dyDescent="0.3">
      <c r="A519" s="208"/>
      <c r="J519" s="208"/>
      <c r="K519" s="208"/>
      <c r="N519" s="208"/>
      <c r="O519" s="208"/>
    </row>
    <row r="520" spans="1:15" ht="14.25" customHeight="1" x14ac:dyDescent="0.3">
      <c r="A520" s="208"/>
      <c r="J520" s="208"/>
      <c r="K520" s="208"/>
      <c r="N520" s="208"/>
      <c r="O520" s="208"/>
    </row>
    <row r="521" spans="1:15" ht="14.25" customHeight="1" x14ac:dyDescent="0.3">
      <c r="A521" s="208"/>
      <c r="J521" s="208"/>
      <c r="K521" s="208"/>
      <c r="N521" s="208"/>
      <c r="O521" s="208"/>
    </row>
    <row r="522" spans="1:15" ht="14.25" customHeight="1" x14ac:dyDescent="0.3">
      <c r="A522" s="208"/>
      <c r="J522" s="208"/>
      <c r="K522" s="208"/>
      <c r="N522" s="208"/>
      <c r="O522" s="208"/>
    </row>
    <row r="523" spans="1:15" ht="14.25" customHeight="1" x14ac:dyDescent="0.3">
      <c r="A523" s="208"/>
      <c r="J523" s="208"/>
      <c r="K523" s="208"/>
      <c r="N523" s="208"/>
      <c r="O523" s="208"/>
    </row>
    <row r="524" spans="1:15" ht="14.25" customHeight="1" x14ac:dyDescent="0.3">
      <c r="A524" s="208"/>
      <c r="J524" s="208"/>
      <c r="K524" s="208"/>
      <c r="N524" s="208"/>
      <c r="O524" s="208"/>
    </row>
    <row r="525" spans="1:15" ht="14.25" customHeight="1" x14ac:dyDescent="0.3">
      <c r="A525" s="208"/>
      <c r="J525" s="208"/>
      <c r="K525" s="208"/>
      <c r="N525" s="208"/>
      <c r="O525" s="208"/>
    </row>
    <row r="526" spans="1:15" ht="14.25" customHeight="1" x14ac:dyDescent="0.3">
      <c r="A526" s="208"/>
      <c r="J526" s="208"/>
      <c r="K526" s="208"/>
      <c r="N526" s="208"/>
      <c r="O526" s="208"/>
    </row>
    <row r="527" spans="1:15" ht="14.25" customHeight="1" x14ac:dyDescent="0.3">
      <c r="A527" s="208"/>
      <c r="J527" s="208"/>
      <c r="K527" s="208"/>
      <c r="N527" s="208"/>
      <c r="O527" s="208"/>
    </row>
    <row r="528" spans="1:15" ht="14.25" customHeight="1" x14ac:dyDescent="0.3">
      <c r="A528" s="208"/>
      <c r="J528" s="208"/>
      <c r="K528" s="208"/>
      <c r="N528" s="208"/>
      <c r="O528" s="208"/>
    </row>
    <row r="529" spans="1:15" ht="14.25" customHeight="1" x14ac:dyDescent="0.3">
      <c r="A529" s="208"/>
      <c r="J529" s="208"/>
      <c r="K529" s="208"/>
      <c r="N529" s="208"/>
      <c r="O529" s="208"/>
    </row>
    <row r="530" spans="1:15" ht="14.25" customHeight="1" x14ac:dyDescent="0.3">
      <c r="A530" s="208"/>
      <c r="J530" s="208"/>
      <c r="K530" s="208"/>
      <c r="N530" s="208"/>
      <c r="O530" s="208"/>
    </row>
    <row r="531" spans="1:15" ht="14.25" customHeight="1" x14ac:dyDescent="0.3">
      <c r="A531" s="208"/>
      <c r="J531" s="208"/>
      <c r="K531" s="208"/>
      <c r="N531" s="208"/>
      <c r="O531" s="208"/>
    </row>
    <row r="532" spans="1:15" ht="14.25" customHeight="1" x14ac:dyDescent="0.3">
      <c r="A532" s="208"/>
      <c r="J532" s="208"/>
      <c r="K532" s="208"/>
      <c r="N532" s="208"/>
      <c r="O532" s="208"/>
    </row>
    <row r="533" spans="1:15" ht="14.25" customHeight="1" x14ac:dyDescent="0.3">
      <c r="A533" s="208"/>
      <c r="J533" s="208"/>
      <c r="K533" s="208"/>
      <c r="N533" s="208"/>
      <c r="O533" s="208"/>
    </row>
    <row r="534" spans="1:15" ht="14.25" customHeight="1" x14ac:dyDescent="0.3">
      <c r="A534" s="208"/>
      <c r="J534" s="208"/>
      <c r="K534" s="208"/>
      <c r="N534" s="208"/>
      <c r="O534" s="208"/>
    </row>
    <row r="535" spans="1:15" ht="14.25" customHeight="1" x14ac:dyDescent="0.3">
      <c r="A535" s="208"/>
      <c r="J535" s="208"/>
      <c r="K535" s="208"/>
      <c r="N535" s="208"/>
      <c r="O535" s="208"/>
    </row>
    <row r="536" spans="1:15" ht="14.25" customHeight="1" x14ac:dyDescent="0.3">
      <c r="A536" s="208"/>
      <c r="J536" s="208"/>
      <c r="K536" s="208"/>
      <c r="N536" s="208"/>
      <c r="O536" s="208"/>
    </row>
    <row r="537" spans="1:15" ht="14.25" customHeight="1" x14ac:dyDescent="0.3">
      <c r="A537" s="208"/>
      <c r="J537" s="208"/>
      <c r="K537" s="208"/>
      <c r="N537" s="208"/>
      <c r="O537" s="208"/>
    </row>
    <row r="538" spans="1:15" ht="14.25" customHeight="1" x14ac:dyDescent="0.3">
      <c r="A538" s="208"/>
      <c r="J538" s="208"/>
      <c r="K538" s="208"/>
      <c r="N538" s="208"/>
      <c r="O538" s="208"/>
    </row>
    <row r="539" spans="1:15" ht="14.25" customHeight="1" x14ac:dyDescent="0.3">
      <c r="A539" s="208"/>
      <c r="J539" s="208"/>
      <c r="K539" s="208"/>
      <c r="N539" s="208"/>
      <c r="O539" s="208"/>
    </row>
    <row r="540" spans="1:15" ht="14.25" customHeight="1" x14ac:dyDescent="0.3">
      <c r="A540" s="208"/>
      <c r="J540" s="208"/>
      <c r="K540" s="208"/>
      <c r="N540" s="208"/>
      <c r="O540" s="208"/>
    </row>
    <row r="541" spans="1:15" ht="14.25" customHeight="1" x14ac:dyDescent="0.3">
      <c r="A541" s="208"/>
      <c r="J541" s="208"/>
      <c r="K541" s="208"/>
      <c r="N541" s="208"/>
      <c r="O541" s="208"/>
    </row>
    <row r="542" spans="1:15" ht="14.25" customHeight="1" x14ac:dyDescent="0.3">
      <c r="A542" s="208"/>
      <c r="J542" s="208"/>
      <c r="K542" s="208"/>
      <c r="N542" s="208"/>
      <c r="O542" s="208"/>
    </row>
    <row r="543" spans="1:15" ht="14.25" customHeight="1" x14ac:dyDescent="0.3">
      <c r="A543" s="208"/>
      <c r="J543" s="208"/>
      <c r="K543" s="208"/>
      <c r="N543" s="208"/>
      <c r="O543" s="208"/>
    </row>
    <row r="544" spans="1:15" ht="14.25" customHeight="1" x14ac:dyDescent="0.3">
      <c r="A544" s="208"/>
      <c r="J544" s="208"/>
      <c r="K544" s="208"/>
      <c r="N544" s="208"/>
      <c r="O544" s="208"/>
    </row>
    <row r="545" spans="1:15" ht="14.25" customHeight="1" x14ac:dyDescent="0.3">
      <c r="A545" s="208"/>
      <c r="J545" s="208"/>
      <c r="K545" s="208"/>
      <c r="N545" s="208"/>
      <c r="O545" s="208"/>
    </row>
    <row r="546" spans="1:15" ht="14.25" customHeight="1" x14ac:dyDescent="0.3">
      <c r="A546" s="208"/>
      <c r="J546" s="208"/>
      <c r="K546" s="208"/>
      <c r="N546" s="208"/>
      <c r="O546" s="208"/>
    </row>
    <row r="547" spans="1:15" ht="14.25" customHeight="1" x14ac:dyDescent="0.3">
      <c r="A547" s="208"/>
      <c r="J547" s="208"/>
      <c r="K547" s="208"/>
      <c r="N547" s="208"/>
      <c r="O547" s="208"/>
    </row>
    <row r="548" spans="1:15" ht="14.25" customHeight="1" x14ac:dyDescent="0.3">
      <c r="A548" s="208"/>
      <c r="J548" s="208"/>
      <c r="K548" s="208"/>
      <c r="N548" s="208"/>
      <c r="O548" s="208"/>
    </row>
    <row r="549" spans="1:15" ht="14.25" customHeight="1" x14ac:dyDescent="0.3">
      <c r="A549" s="208"/>
      <c r="J549" s="208"/>
      <c r="K549" s="208"/>
      <c r="N549" s="208"/>
      <c r="O549" s="208"/>
    </row>
    <row r="550" spans="1:15" ht="14.25" customHeight="1" x14ac:dyDescent="0.3">
      <c r="A550" s="208"/>
      <c r="J550" s="208"/>
      <c r="K550" s="208"/>
      <c r="N550" s="208"/>
      <c r="O550" s="208"/>
    </row>
    <row r="551" spans="1:15" ht="14.25" customHeight="1" x14ac:dyDescent="0.3">
      <c r="A551" s="208"/>
      <c r="J551" s="208"/>
      <c r="K551" s="208"/>
      <c r="N551" s="208"/>
      <c r="O551" s="208"/>
    </row>
    <row r="552" spans="1:15" ht="14.25" customHeight="1" x14ac:dyDescent="0.3">
      <c r="A552" s="208"/>
      <c r="J552" s="208"/>
      <c r="K552" s="208"/>
      <c r="N552" s="208"/>
      <c r="O552" s="208"/>
    </row>
    <row r="553" spans="1:15" ht="14.25" customHeight="1" x14ac:dyDescent="0.3">
      <c r="A553" s="208"/>
      <c r="J553" s="208"/>
      <c r="K553" s="208"/>
      <c r="N553" s="208"/>
      <c r="O553" s="208"/>
    </row>
    <row r="554" spans="1:15" ht="14.25" customHeight="1" x14ac:dyDescent="0.3">
      <c r="A554" s="208"/>
      <c r="J554" s="208"/>
      <c r="K554" s="208"/>
      <c r="N554" s="208"/>
      <c r="O554" s="208"/>
    </row>
    <row r="555" spans="1:15" ht="14.25" customHeight="1" x14ac:dyDescent="0.3">
      <c r="A555" s="208"/>
      <c r="J555" s="208"/>
      <c r="K555" s="208"/>
      <c r="N555" s="208"/>
      <c r="O555" s="208"/>
    </row>
    <row r="556" spans="1:15" ht="14.25" customHeight="1" x14ac:dyDescent="0.3">
      <c r="A556" s="208"/>
      <c r="J556" s="208"/>
      <c r="K556" s="208"/>
      <c r="N556" s="208"/>
      <c r="O556" s="208"/>
    </row>
    <row r="557" spans="1:15" ht="14.25" customHeight="1" x14ac:dyDescent="0.3">
      <c r="A557" s="208"/>
      <c r="J557" s="208"/>
      <c r="K557" s="208"/>
      <c r="N557" s="208"/>
      <c r="O557" s="208"/>
    </row>
    <row r="558" spans="1:15" ht="14.25" customHeight="1" x14ac:dyDescent="0.3">
      <c r="A558" s="208"/>
      <c r="J558" s="208"/>
      <c r="K558" s="208"/>
      <c r="N558" s="208"/>
      <c r="O558" s="208"/>
    </row>
    <row r="559" spans="1:15" ht="14.25" customHeight="1" x14ac:dyDescent="0.3">
      <c r="A559" s="208"/>
      <c r="J559" s="208"/>
      <c r="K559" s="208"/>
      <c r="N559" s="208"/>
      <c r="O559" s="208"/>
    </row>
    <row r="560" spans="1:15" ht="14.25" customHeight="1" x14ac:dyDescent="0.3">
      <c r="A560" s="208"/>
      <c r="J560" s="208"/>
      <c r="K560" s="208"/>
      <c r="N560" s="208"/>
      <c r="O560" s="208"/>
    </row>
    <row r="561" spans="1:15" ht="14.25" customHeight="1" x14ac:dyDescent="0.3">
      <c r="A561" s="208"/>
      <c r="J561" s="208"/>
      <c r="K561" s="208"/>
      <c r="N561" s="208"/>
      <c r="O561" s="208"/>
    </row>
    <row r="562" spans="1:15" ht="14.25" customHeight="1" x14ac:dyDescent="0.3">
      <c r="A562" s="208"/>
      <c r="J562" s="208"/>
      <c r="K562" s="208"/>
      <c r="N562" s="208"/>
      <c r="O562" s="208"/>
    </row>
    <row r="563" spans="1:15" ht="14.25" customHeight="1" x14ac:dyDescent="0.3">
      <c r="A563" s="208"/>
      <c r="J563" s="208"/>
      <c r="K563" s="208"/>
      <c r="N563" s="208"/>
      <c r="O563" s="208"/>
    </row>
    <row r="564" spans="1:15" ht="14.25" customHeight="1" x14ac:dyDescent="0.3">
      <c r="A564" s="208"/>
      <c r="J564" s="208"/>
      <c r="K564" s="208"/>
      <c r="N564" s="208"/>
      <c r="O564" s="208"/>
    </row>
    <row r="565" spans="1:15" ht="14.25" customHeight="1" x14ac:dyDescent="0.3">
      <c r="A565" s="208"/>
      <c r="J565" s="208"/>
      <c r="K565" s="208"/>
      <c r="N565" s="208"/>
      <c r="O565" s="208"/>
    </row>
    <row r="566" spans="1:15" ht="14.25" customHeight="1" x14ac:dyDescent="0.3">
      <c r="A566" s="208"/>
      <c r="J566" s="208"/>
      <c r="K566" s="208"/>
      <c r="N566" s="208"/>
      <c r="O566" s="208"/>
    </row>
    <row r="567" spans="1:15" ht="14.25" customHeight="1" x14ac:dyDescent="0.3">
      <c r="A567" s="208"/>
      <c r="J567" s="208"/>
      <c r="K567" s="208"/>
      <c r="N567" s="208"/>
      <c r="O567" s="208"/>
    </row>
    <row r="568" spans="1:15" ht="14.25" customHeight="1" x14ac:dyDescent="0.3">
      <c r="A568" s="208"/>
      <c r="J568" s="208"/>
      <c r="K568" s="208"/>
      <c r="N568" s="208"/>
      <c r="O568" s="208"/>
    </row>
    <row r="569" spans="1:15" ht="14.25" customHeight="1" x14ac:dyDescent="0.3">
      <c r="A569" s="208"/>
      <c r="J569" s="208"/>
      <c r="K569" s="208"/>
      <c r="N569" s="208"/>
      <c r="O569" s="208"/>
    </row>
    <row r="570" spans="1:15" ht="14.25" customHeight="1" x14ac:dyDescent="0.3">
      <c r="A570" s="208"/>
      <c r="J570" s="208"/>
      <c r="K570" s="208"/>
      <c r="N570" s="208"/>
      <c r="O570" s="208"/>
    </row>
    <row r="571" spans="1:15" ht="14.25" customHeight="1" x14ac:dyDescent="0.3">
      <c r="A571" s="208"/>
      <c r="J571" s="208"/>
      <c r="K571" s="208"/>
      <c r="N571" s="208"/>
      <c r="O571" s="208"/>
    </row>
    <row r="572" spans="1:15" ht="14.25" customHeight="1" x14ac:dyDescent="0.3">
      <c r="A572" s="208"/>
      <c r="J572" s="208"/>
      <c r="K572" s="208"/>
      <c r="N572" s="208"/>
      <c r="O572" s="208"/>
    </row>
    <row r="573" spans="1:15" ht="14.25" customHeight="1" x14ac:dyDescent="0.3">
      <c r="A573" s="208"/>
      <c r="J573" s="208"/>
      <c r="K573" s="208"/>
      <c r="N573" s="208"/>
      <c r="O573" s="208"/>
    </row>
    <row r="574" spans="1:15" ht="14.25" customHeight="1" x14ac:dyDescent="0.3">
      <c r="A574" s="208"/>
      <c r="J574" s="208"/>
      <c r="K574" s="208"/>
      <c r="N574" s="208"/>
      <c r="O574" s="208"/>
    </row>
    <row r="575" spans="1:15" ht="14.25" customHeight="1" x14ac:dyDescent="0.3">
      <c r="A575" s="208"/>
      <c r="J575" s="208"/>
      <c r="K575" s="208"/>
      <c r="N575" s="208"/>
      <c r="O575" s="208"/>
    </row>
    <row r="576" spans="1:15" ht="14.25" customHeight="1" x14ac:dyDescent="0.3">
      <c r="A576" s="208"/>
      <c r="J576" s="208"/>
      <c r="K576" s="208"/>
      <c r="N576" s="208"/>
      <c r="O576" s="208"/>
    </row>
    <row r="577" spans="1:15" ht="14.25" customHeight="1" x14ac:dyDescent="0.3">
      <c r="A577" s="208"/>
      <c r="J577" s="208"/>
      <c r="K577" s="208"/>
      <c r="N577" s="208"/>
      <c r="O577" s="208"/>
    </row>
    <row r="578" spans="1:15" ht="14.25" customHeight="1" x14ac:dyDescent="0.3">
      <c r="A578" s="208"/>
      <c r="J578" s="208"/>
      <c r="K578" s="208"/>
      <c r="N578" s="208"/>
      <c r="O578" s="208"/>
    </row>
    <row r="579" spans="1:15" ht="14.25" customHeight="1" x14ac:dyDescent="0.3">
      <c r="A579" s="208"/>
      <c r="J579" s="208"/>
      <c r="K579" s="208"/>
      <c r="N579" s="208"/>
      <c r="O579" s="208"/>
    </row>
    <row r="580" spans="1:15" ht="14.25" customHeight="1" x14ac:dyDescent="0.3">
      <c r="A580" s="208"/>
      <c r="J580" s="208"/>
      <c r="K580" s="208"/>
      <c r="N580" s="208"/>
      <c r="O580" s="208"/>
    </row>
    <row r="581" spans="1:15" ht="14.25" customHeight="1" x14ac:dyDescent="0.3">
      <c r="A581" s="208"/>
      <c r="J581" s="208"/>
      <c r="K581" s="208"/>
      <c r="N581" s="208"/>
      <c r="O581" s="208"/>
    </row>
    <row r="582" spans="1:15" ht="14.25" customHeight="1" x14ac:dyDescent="0.3">
      <c r="A582" s="208"/>
      <c r="J582" s="208"/>
      <c r="K582" s="208"/>
      <c r="N582" s="208"/>
      <c r="O582" s="208"/>
    </row>
    <row r="583" spans="1:15" ht="14.25" customHeight="1" x14ac:dyDescent="0.3">
      <c r="A583" s="208"/>
      <c r="J583" s="208"/>
      <c r="K583" s="208"/>
      <c r="N583" s="208"/>
      <c r="O583" s="208"/>
    </row>
    <row r="584" spans="1:15" ht="14.25" customHeight="1" x14ac:dyDescent="0.3">
      <c r="A584" s="208"/>
      <c r="J584" s="208"/>
      <c r="K584" s="208"/>
      <c r="N584" s="208"/>
      <c r="O584" s="208"/>
    </row>
    <row r="585" spans="1:15" ht="14.25" customHeight="1" x14ac:dyDescent="0.3">
      <c r="A585" s="208"/>
      <c r="J585" s="208"/>
      <c r="K585" s="208"/>
      <c r="N585" s="208"/>
      <c r="O585" s="208"/>
    </row>
    <row r="586" spans="1:15" ht="14.25" customHeight="1" x14ac:dyDescent="0.3">
      <c r="A586" s="208"/>
      <c r="J586" s="208"/>
      <c r="K586" s="208"/>
      <c r="N586" s="208"/>
      <c r="O586" s="208"/>
    </row>
    <row r="587" spans="1:15" ht="14.25" customHeight="1" x14ac:dyDescent="0.3">
      <c r="A587" s="208"/>
      <c r="J587" s="208"/>
      <c r="K587" s="208"/>
      <c r="N587" s="208"/>
      <c r="O587" s="208"/>
    </row>
    <row r="588" spans="1:15" ht="14.25" customHeight="1" x14ac:dyDescent="0.3">
      <c r="A588" s="208"/>
      <c r="J588" s="208"/>
      <c r="K588" s="208"/>
      <c r="N588" s="208"/>
      <c r="O588" s="208"/>
    </row>
    <row r="589" spans="1:15" ht="14.25" customHeight="1" x14ac:dyDescent="0.3">
      <c r="A589" s="208"/>
      <c r="J589" s="208"/>
      <c r="K589" s="208"/>
      <c r="N589" s="208"/>
      <c r="O589" s="208"/>
    </row>
    <row r="590" spans="1:15" ht="14.25" customHeight="1" x14ac:dyDescent="0.3">
      <c r="A590" s="208"/>
      <c r="J590" s="208"/>
      <c r="K590" s="208"/>
      <c r="N590" s="208"/>
      <c r="O590" s="208"/>
    </row>
    <row r="591" spans="1:15" ht="14.25" customHeight="1" x14ac:dyDescent="0.3">
      <c r="A591" s="208"/>
      <c r="J591" s="208"/>
      <c r="K591" s="208"/>
      <c r="N591" s="208"/>
      <c r="O591" s="208"/>
    </row>
    <row r="592" spans="1:15" ht="14.25" customHeight="1" x14ac:dyDescent="0.3">
      <c r="A592" s="208"/>
      <c r="J592" s="208"/>
      <c r="K592" s="208"/>
      <c r="N592" s="208"/>
      <c r="O592" s="208"/>
    </row>
    <row r="593" spans="1:15" ht="14.25" customHeight="1" x14ac:dyDescent="0.3">
      <c r="A593" s="208"/>
      <c r="J593" s="208"/>
      <c r="K593" s="208"/>
      <c r="N593" s="208"/>
      <c r="O593" s="208"/>
    </row>
    <row r="594" spans="1:15" ht="14.25" customHeight="1" x14ac:dyDescent="0.3">
      <c r="A594" s="208"/>
      <c r="J594" s="208"/>
      <c r="K594" s="208"/>
      <c r="N594" s="208"/>
      <c r="O594" s="208"/>
    </row>
    <row r="595" spans="1:15" ht="14.25" customHeight="1" x14ac:dyDescent="0.3">
      <c r="A595" s="208"/>
      <c r="J595" s="208"/>
      <c r="K595" s="208"/>
      <c r="N595" s="208"/>
      <c r="O595" s="208"/>
    </row>
    <row r="596" spans="1:15" ht="14.25" customHeight="1" x14ac:dyDescent="0.3">
      <c r="A596" s="208"/>
      <c r="J596" s="208"/>
      <c r="K596" s="208"/>
      <c r="N596" s="208"/>
      <c r="O596" s="208"/>
    </row>
    <row r="597" spans="1:15" ht="14.25" customHeight="1" x14ac:dyDescent="0.3">
      <c r="A597" s="208"/>
      <c r="J597" s="208"/>
      <c r="K597" s="208"/>
      <c r="N597" s="208"/>
      <c r="O597" s="208"/>
    </row>
    <row r="598" spans="1:15" ht="14.25" customHeight="1" x14ac:dyDescent="0.3">
      <c r="A598" s="208"/>
      <c r="J598" s="208"/>
      <c r="K598" s="208"/>
      <c r="N598" s="208"/>
      <c r="O598" s="208"/>
    </row>
    <row r="599" spans="1:15" ht="14.25" customHeight="1" x14ac:dyDescent="0.3">
      <c r="A599" s="208"/>
      <c r="J599" s="208"/>
      <c r="K599" s="208"/>
      <c r="N599" s="208"/>
      <c r="O599" s="208"/>
    </row>
    <row r="600" spans="1:15" ht="14.25" customHeight="1" x14ac:dyDescent="0.3">
      <c r="A600" s="208"/>
      <c r="J600" s="208"/>
      <c r="K600" s="208"/>
      <c r="N600" s="208"/>
      <c r="O600" s="208"/>
    </row>
    <row r="601" spans="1:15" ht="14.25" customHeight="1" x14ac:dyDescent="0.3">
      <c r="A601" s="208"/>
      <c r="J601" s="208"/>
      <c r="K601" s="208"/>
      <c r="N601" s="208"/>
      <c r="O601" s="208"/>
    </row>
    <row r="602" spans="1:15" ht="14.25" customHeight="1" x14ac:dyDescent="0.3">
      <c r="A602" s="208"/>
      <c r="J602" s="208"/>
      <c r="K602" s="208"/>
      <c r="N602" s="208"/>
      <c r="O602" s="208"/>
    </row>
    <row r="603" spans="1:15" ht="14.25" customHeight="1" x14ac:dyDescent="0.3">
      <c r="A603" s="208"/>
      <c r="J603" s="208"/>
      <c r="K603" s="208"/>
      <c r="N603" s="208"/>
      <c r="O603" s="208"/>
    </row>
    <row r="604" spans="1:15" ht="14.25" customHeight="1" x14ac:dyDescent="0.3">
      <c r="A604" s="208"/>
      <c r="J604" s="208"/>
      <c r="K604" s="208"/>
      <c r="N604" s="208"/>
      <c r="O604" s="208"/>
    </row>
    <row r="605" spans="1:15" ht="14.25" customHeight="1" x14ac:dyDescent="0.3">
      <c r="A605" s="208"/>
      <c r="J605" s="208"/>
      <c r="K605" s="208"/>
      <c r="N605" s="208"/>
      <c r="O605" s="208"/>
    </row>
    <row r="606" spans="1:15" ht="14.25" customHeight="1" x14ac:dyDescent="0.3">
      <c r="A606" s="208"/>
      <c r="J606" s="208"/>
      <c r="K606" s="208"/>
      <c r="N606" s="208"/>
      <c r="O606" s="208"/>
    </row>
    <row r="607" spans="1:15" ht="14.25" customHeight="1" x14ac:dyDescent="0.3">
      <c r="A607" s="208"/>
      <c r="J607" s="208"/>
      <c r="K607" s="208"/>
      <c r="N607" s="208"/>
      <c r="O607" s="208"/>
    </row>
    <row r="608" spans="1:15" ht="14.25" customHeight="1" x14ac:dyDescent="0.3">
      <c r="A608" s="208"/>
      <c r="J608" s="208"/>
      <c r="K608" s="208"/>
      <c r="N608" s="208"/>
      <c r="O608" s="208"/>
    </row>
    <row r="609" spans="1:15" ht="14.25" customHeight="1" x14ac:dyDescent="0.3">
      <c r="A609" s="208"/>
      <c r="J609" s="208"/>
      <c r="K609" s="208"/>
      <c r="N609" s="208"/>
      <c r="O609" s="208"/>
    </row>
    <row r="610" spans="1:15" ht="14.25" customHeight="1" x14ac:dyDescent="0.3">
      <c r="A610" s="208"/>
      <c r="J610" s="208"/>
      <c r="K610" s="208"/>
      <c r="N610" s="208"/>
      <c r="O610" s="208"/>
    </row>
    <row r="611" spans="1:15" ht="14.25" customHeight="1" x14ac:dyDescent="0.3">
      <c r="A611" s="208"/>
      <c r="J611" s="208"/>
      <c r="K611" s="208"/>
      <c r="N611" s="208"/>
      <c r="O611" s="208"/>
    </row>
    <row r="612" spans="1:15" ht="14.25" customHeight="1" x14ac:dyDescent="0.3">
      <c r="A612" s="208"/>
      <c r="J612" s="208"/>
      <c r="K612" s="208"/>
      <c r="N612" s="208"/>
      <c r="O612" s="208"/>
    </row>
    <row r="613" spans="1:15" ht="14.25" customHeight="1" x14ac:dyDescent="0.3">
      <c r="A613" s="208"/>
      <c r="J613" s="208"/>
      <c r="K613" s="208"/>
      <c r="N613" s="208"/>
      <c r="O613" s="208"/>
    </row>
    <row r="614" spans="1:15" ht="14.25" customHeight="1" x14ac:dyDescent="0.3">
      <c r="A614" s="208"/>
      <c r="J614" s="208"/>
      <c r="K614" s="208"/>
      <c r="N614" s="208"/>
      <c r="O614" s="208"/>
    </row>
    <row r="615" spans="1:15" ht="14.25" customHeight="1" x14ac:dyDescent="0.3">
      <c r="A615" s="208"/>
      <c r="J615" s="208"/>
      <c r="K615" s="208"/>
      <c r="N615" s="208"/>
      <c r="O615" s="208"/>
    </row>
    <row r="616" spans="1:15" ht="14.25" customHeight="1" x14ac:dyDescent="0.3">
      <c r="A616" s="208"/>
      <c r="J616" s="208"/>
      <c r="K616" s="208"/>
      <c r="N616" s="208"/>
      <c r="O616" s="208"/>
    </row>
    <row r="617" spans="1:15" ht="14.25" customHeight="1" x14ac:dyDescent="0.3">
      <c r="A617" s="208"/>
      <c r="J617" s="208"/>
      <c r="K617" s="208"/>
      <c r="N617" s="208"/>
      <c r="O617" s="208"/>
    </row>
    <row r="618" spans="1:15" ht="14.25" customHeight="1" x14ac:dyDescent="0.3">
      <c r="A618" s="208"/>
      <c r="J618" s="208"/>
      <c r="K618" s="208"/>
      <c r="N618" s="208"/>
      <c r="O618" s="208"/>
    </row>
    <row r="619" spans="1:15" ht="14.25" customHeight="1" x14ac:dyDescent="0.3">
      <c r="A619" s="208"/>
      <c r="J619" s="208"/>
      <c r="K619" s="208"/>
      <c r="N619" s="208"/>
      <c r="O619" s="208"/>
    </row>
    <row r="620" spans="1:15" ht="14.25" customHeight="1" x14ac:dyDescent="0.3">
      <c r="A620" s="208"/>
      <c r="J620" s="208"/>
      <c r="K620" s="208"/>
      <c r="N620" s="208"/>
      <c r="O620" s="208"/>
    </row>
    <row r="621" spans="1:15" ht="14.25" customHeight="1" x14ac:dyDescent="0.3">
      <c r="A621" s="208"/>
      <c r="J621" s="208"/>
      <c r="K621" s="208"/>
      <c r="N621" s="208"/>
      <c r="O621" s="208"/>
    </row>
    <row r="622" spans="1:15" ht="14.25" customHeight="1" x14ac:dyDescent="0.3">
      <c r="A622" s="208"/>
      <c r="J622" s="208"/>
      <c r="K622" s="208"/>
      <c r="N622" s="208"/>
      <c r="O622" s="208"/>
    </row>
    <row r="623" spans="1:15" ht="14.25" customHeight="1" x14ac:dyDescent="0.3">
      <c r="A623" s="208"/>
      <c r="J623" s="208"/>
      <c r="K623" s="208"/>
      <c r="N623" s="208"/>
      <c r="O623" s="208"/>
    </row>
    <row r="624" spans="1:15" ht="14.25" customHeight="1" x14ac:dyDescent="0.3">
      <c r="A624" s="208"/>
      <c r="J624" s="208"/>
      <c r="K624" s="208"/>
      <c r="N624" s="208"/>
      <c r="O624" s="208"/>
    </row>
    <row r="625" spans="1:15" ht="14.25" customHeight="1" x14ac:dyDescent="0.3">
      <c r="A625" s="208"/>
      <c r="J625" s="208"/>
      <c r="K625" s="208"/>
      <c r="N625" s="208"/>
      <c r="O625" s="208"/>
    </row>
    <row r="626" spans="1:15" ht="14.25" customHeight="1" x14ac:dyDescent="0.3">
      <c r="A626" s="208"/>
      <c r="J626" s="208"/>
      <c r="K626" s="208"/>
      <c r="N626" s="208"/>
      <c r="O626" s="208"/>
    </row>
    <row r="627" spans="1:15" ht="14.25" customHeight="1" x14ac:dyDescent="0.3">
      <c r="A627" s="208"/>
      <c r="J627" s="208"/>
      <c r="K627" s="208"/>
      <c r="N627" s="208"/>
      <c r="O627" s="208"/>
    </row>
    <row r="628" spans="1:15" ht="14.25" customHeight="1" x14ac:dyDescent="0.3">
      <c r="A628" s="208"/>
      <c r="J628" s="208"/>
      <c r="K628" s="208"/>
      <c r="N628" s="208"/>
      <c r="O628" s="208"/>
    </row>
    <row r="629" spans="1:15" ht="14.25" customHeight="1" x14ac:dyDescent="0.3">
      <c r="A629" s="208"/>
      <c r="J629" s="208"/>
      <c r="K629" s="208"/>
      <c r="N629" s="208"/>
      <c r="O629" s="208"/>
    </row>
    <row r="630" spans="1:15" ht="14.25" customHeight="1" x14ac:dyDescent="0.3">
      <c r="A630" s="208"/>
      <c r="J630" s="208"/>
      <c r="K630" s="208"/>
      <c r="N630" s="208"/>
      <c r="O630" s="208"/>
    </row>
    <row r="631" spans="1:15" ht="14.25" customHeight="1" x14ac:dyDescent="0.3">
      <c r="A631" s="208"/>
      <c r="J631" s="208"/>
      <c r="K631" s="208"/>
      <c r="N631" s="208"/>
      <c r="O631" s="208"/>
    </row>
    <row r="632" spans="1:15" ht="14.25" customHeight="1" x14ac:dyDescent="0.3">
      <c r="A632" s="208"/>
      <c r="J632" s="208"/>
      <c r="K632" s="208"/>
      <c r="N632" s="208"/>
      <c r="O632" s="208"/>
    </row>
    <row r="633" spans="1:15" ht="14.25" customHeight="1" x14ac:dyDescent="0.3">
      <c r="A633" s="208"/>
      <c r="J633" s="208"/>
      <c r="K633" s="208"/>
      <c r="N633" s="208"/>
      <c r="O633" s="208"/>
    </row>
    <row r="634" spans="1:15" ht="14.25" customHeight="1" x14ac:dyDescent="0.3">
      <c r="A634" s="208"/>
      <c r="J634" s="208"/>
      <c r="K634" s="208"/>
      <c r="N634" s="208"/>
      <c r="O634" s="208"/>
    </row>
    <row r="635" spans="1:15" ht="14.25" customHeight="1" x14ac:dyDescent="0.3">
      <c r="A635" s="208"/>
      <c r="J635" s="208"/>
      <c r="K635" s="208"/>
      <c r="N635" s="208"/>
      <c r="O635" s="208"/>
    </row>
    <row r="636" spans="1:15" ht="14.25" customHeight="1" x14ac:dyDescent="0.3">
      <c r="A636" s="208"/>
      <c r="J636" s="208"/>
      <c r="K636" s="208"/>
      <c r="N636" s="208"/>
      <c r="O636" s="208"/>
    </row>
    <row r="637" spans="1:15" ht="14.25" customHeight="1" x14ac:dyDescent="0.3">
      <c r="A637" s="208"/>
      <c r="J637" s="208"/>
      <c r="K637" s="208"/>
      <c r="N637" s="208"/>
      <c r="O637" s="208"/>
    </row>
    <row r="638" spans="1:15" ht="14.25" customHeight="1" x14ac:dyDescent="0.3">
      <c r="A638" s="208"/>
      <c r="J638" s="208"/>
      <c r="K638" s="208"/>
      <c r="N638" s="208"/>
      <c r="O638" s="208"/>
    </row>
    <row r="639" spans="1:15" ht="14.25" customHeight="1" x14ac:dyDescent="0.3">
      <c r="A639" s="208"/>
      <c r="J639" s="208"/>
      <c r="K639" s="208"/>
      <c r="N639" s="208"/>
      <c r="O639" s="208"/>
    </row>
    <row r="640" spans="1:15" ht="14.25" customHeight="1" x14ac:dyDescent="0.3">
      <c r="A640" s="208"/>
      <c r="J640" s="208"/>
      <c r="K640" s="208"/>
      <c r="N640" s="208"/>
      <c r="O640" s="208"/>
    </row>
    <row r="641" spans="1:15" ht="14.25" customHeight="1" x14ac:dyDescent="0.3">
      <c r="A641" s="208"/>
      <c r="J641" s="208"/>
      <c r="K641" s="208"/>
      <c r="N641" s="208"/>
      <c r="O641" s="208"/>
    </row>
    <row r="642" spans="1:15" ht="14.25" customHeight="1" x14ac:dyDescent="0.3">
      <c r="A642" s="208"/>
      <c r="J642" s="208"/>
      <c r="K642" s="208"/>
      <c r="N642" s="208"/>
      <c r="O642" s="208"/>
    </row>
    <row r="643" spans="1:15" ht="14.25" customHeight="1" x14ac:dyDescent="0.3">
      <c r="A643" s="208"/>
      <c r="J643" s="208"/>
      <c r="K643" s="208"/>
      <c r="N643" s="208"/>
      <c r="O643" s="208"/>
    </row>
    <row r="644" spans="1:15" ht="14.25" customHeight="1" x14ac:dyDescent="0.3">
      <c r="A644" s="208"/>
      <c r="J644" s="208"/>
      <c r="K644" s="208"/>
      <c r="N644" s="208"/>
      <c r="O644" s="208"/>
    </row>
    <row r="645" spans="1:15" ht="14.25" customHeight="1" x14ac:dyDescent="0.3">
      <c r="A645" s="208"/>
      <c r="J645" s="208"/>
      <c r="K645" s="208"/>
      <c r="N645" s="208"/>
      <c r="O645" s="208"/>
    </row>
    <row r="646" spans="1:15" ht="14.25" customHeight="1" x14ac:dyDescent="0.3">
      <c r="A646" s="208"/>
      <c r="J646" s="208"/>
      <c r="K646" s="208"/>
      <c r="N646" s="208"/>
      <c r="O646" s="208"/>
    </row>
    <row r="647" spans="1:15" ht="14.25" customHeight="1" x14ac:dyDescent="0.3">
      <c r="A647" s="208"/>
      <c r="J647" s="208"/>
      <c r="K647" s="208"/>
      <c r="N647" s="208"/>
      <c r="O647" s="208"/>
    </row>
    <row r="648" spans="1:15" ht="14.25" customHeight="1" x14ac:dyDescent="0.3">
      <c r="A648" s="208"/>
      <c r="J648" s="208"/>
      <c r="K648" s="208"/>
      <c r="N648" s="208"/>
      <c r="O648" s="208"/>
    </row>
    <row r="649" spans="1:15" ht="14.25" customHeight="1" x14ac:dyDescent="0.3">
      <c r="A649" s="208"/>
      <c r="J649" s="208"/>
      <c r="K649" s="208"/>
      <c r="N649" s="208"/>
      <c r="O649" s="208"/>
    </row>
    <row r="650" spans="1:15" ht="14.25" customHeight="1" x14ac:dyDescent="0.3">
      <c r="A650" s="208"/>
      <c r="J650" s="208"/>
      <c r="K650" s="208"/>
      <c r="N650" s="208"/>
      <c r="O650" s="208"/>
    </row>
    <row r="651" spans="1:15" ht="14.25" customHeight="1" x14ac:dyDescent="0.3">
      <c r="A651" s="208"/>
      <c r="J651" s="208"/>
      <c r="K651" s="208"/>
      <c r="N651" s="208"/>
      <c r="O651" s="208"/>
    </row>
    <row r="652" spans="1:15" ht="14.25" customHeight="1" x14ac:dyDescent="0.3">
      <c r="A652" s="208"/>
      <c r="J652" s="208"/>
      <c r="K652" s="208"/>
      <c r="N652" s="208"/>
      <c r="O652" s="208"/>
    </row>
    <row r="653" spans="1:15" ht="14.25" customHeight="1" x14ac:dyDescent="0.3">
      <c r="A653" s="208"/>
      <c r="J653" s="208"/>
      <c r="K653" s="208"/>
      <c r="N653" s="208"/>
      <c r="O653" s="208"/>
    </row>
    <row r="654" spans="1:15" ht="14.25" customHeight="1" x14ac:dyDescent="0.3">
      <c r="A654" s="208"/>
      <c r="J654" s="208"/>
      <c r="K654" s="208"/>
      <c r="N654" s="208"/>
      <c r="O654" s="208"/>
    </row>
    <row r="655" spans="1:15" ht="14.25" customHeight="1" x14ac:dyDescent="0.3">
      <c r="A655" s="208"/>
      <c r="J655" s="208"/>
      <c r="K655" s="208"/>
      <c r="N655" s="208"/>
      <c r="O655" s="208"/>
    </row>
    <row r="656" spans="1:15" ht="14.25" customHeight="1" x14ac:dyDescent="0.3">
      <c r="A656" s="208"/>
      <c r="J656" s="208"/>
      <c r="K656" s="208"/>
      <c r="N656" s="208"/>
      <c r="O656" s="208"/>
    </row>
    <row r="657" spans="1:15" ht="14.25" customHeight="1" x14ac:dyDescent="0.3">
      <c r="A657" s="208"/>
      <c r="J657" s="208"/>
      <c r="K657" s="208"/>
      <c r="N657" s="208"/>
      <c r="O657" s="208"/>
    </row>
    <row r="658" spans="1:15" ht="14.25" customHeight="1" x14ac:dyDescent="0.3">
      <c r="A658" s="208"/>
      <c r="J658" s="208"/>
      <c r="K658" s="208"/>
      <c r="N658" s="208"/>
      <c r="O658" s="208"/>
    </row>
    <row r="659" spans="1:15" ht="14.25" customHeight="1" x14ac:dyDescent="0.3">
      <c r="A659" s="208"/>
      <c r="J659" s="208"/>
      <c r="K659" s="208"/>
      <c r="N659" s="208"/>
      <c r="O659" s="208"/>
    </row>
    <row r="660" spans="1:15" ht="14.25" customHeight="1" x14ac:dyDescent="0.3">
      <c r="A660" s="208"/>
      <c r="J660" s="208"/>
      <c r="K660" s="208"/>
      <c r="N660" s="208"/>
      <c r="O660" s="208"/>
    </row>
    <row r="661" spans="1:15" ht="14.25" customHeight="1" x14ac:dyDescent="0.3">
      <c r="A661" s="208"/>
      <c r="J661" s="208"/>
      <c r="K661" s="208"/>
      <c r="N661" s="208"/>
      <c r="O661" s="208"/>
    </row>
    <row r="662" spans="1:15" ht="14.25" customHeight="1" x14ac:dyDescent="0.3">
      <c r="A662" s="208"/>
      <c r="J662" s="208"/>
      <c r="K662" s="208"/>
      <c r="N662" s="208"/>
      <c r="O662" s="208"/>
    </row>
    <row r="663" spans="1:15" ht="14.25" customHeight="1" x14ac:dyDescent="0.3">
      <c r="A663" s="208"/>
      <c r="J663" s="208"/>
      <c r="K663" s="208"/>
      <c r="N663" s="208"/>
      <c r="O663" s="208"/>
    </row>
    <row r="664" spans="1:15" ht="14.25" customHeight="1" x14ac:dyDescent="0.3">
      <c r="A664" s="208"/>
      <c r="J664" s="208"/>
      <c r="K664" s="208"/>
      <c r="N664" s="208"/>
      <c r="O664" s="208"/>
    </row>
    <row r="665" spans="1:15" ht="14.25" customHeight="1" x14ac:dyDescent="0.3">
      <c r="A665" s="208"/>
      <c r="J665" s="208"/>
      <c r="K665" s="208"/>
      <c r="N665" s="208"/>
      <c r="O665" s="208"/>
    </row>
    <row r="666" spans="1:15" ht="14.25" customHeight="1" x14ac:dyDescent="0.3">
      <c r="A666" s="208"/>
      <c r="J666" s="208"/>
      <c r="K666" s="208"/>
      <c r="N666" s="208"/>
      <c r="O666" s="208"/>
    </row>
    <row r="667" spans="1:15" ht="14.25" customHeight="1" x14ac:dyDescent="0.3">
      <c r="A667" s="208"/>
      <c r="J667" s="208"/>
      <c r="K667" s="208"/>
      <c r="N667" s="208"/>
      <c r="O667" s="208"/>
    </row>
    <row r="668" spans="1:15" ht="14.25" customHeight="1" x14ac:dyDescent="0.3">
      <c r="A668" s="208"/>
      <c r="J668" s="208"/>
      <c r="K668" s="208"/>
      <c r="N668" s="208"/>
      <c r="O668" s="208"/>
    </row>
    <row r="669" spans="1:15" ht="14.25" customHeight="1" x14ac:dyDescent="0.3">
      <c r="A669" s="208"/>
      <c r="J669" s="208"/>
      <c r="K669" s="208"/>
      <c r="N669" s="208"/>
      <c r="O669" s="208"/>
    </row>
    <row r="670" spans="1:15" ht="14.25" customHeight="1" x14ac:dyDescent="0.3">
      <c r="A670" s="208"/>
      <c r="J670" s="208"/>
      <c r="K670" s="208"/>
      <c r="N670" s="208"/>
      <c r="O670" s="208"/>
    </row>
    <row r="671" spans="1:15" ht="14.25" customHeight="1" x14ac:dyDescent="0.3">
      <c r="A671" s="208"/>
      <c r="J671" s="208"/>
      <c r="K671" s="208"/>
      <c r="N671" s="208"/>
      <c r="O671" s="208"/>
    </row>
    <row r="672" spans="1:15" ht="14.25" customHeight="1" x14ac:dyDescent="0.3">
      <c r="A672" s="208"/>
      <c r="J672" s="208"/>
      <c r="K672" s="208"/>
      <c r="N672" s="208"/>
      <c r="O672" s="208"/>
    </row>
    <row r="673" spans="1:15" ht="14.25" customHeight="1" x14ac:dyDescent="0.3">
      <c r="A673" s="208"/>
      <c r="J673" s="208"/>
      <c r="K673" s="208"/>
      <c r="N673" s="208"/>
      <c r="O673" s="208"/>
    </row>
    <row r="674" spans="1:15" ht="14.25" customHeight="1" x14ac:dyDescent="0.3">
      <c r="A674" s="208"/>
      <c r="J674" s="208"/>
      <c r="K674" s="208"/>
      <c r="N674" s="208"/>
      <c r="O674" s="208"/>
    </row>
    <row r="675" spans="1:15" ht="14.25" customHeight="1" x14ac:dyDescent="0.3">
      <c r="A675" s="208"/>
      <c r="J675" s="208"/>
      <c r="K675" s="208"/>
      <c r="N675" s="208"/>
      <c r="O675" s="208"/>
    </row>
    <row r="676" spans="1:15" ht="14.25" customHeight="1" x14ac:dyDescent="0.3">
      <c r="A676" s="208"/>
      <c r="J676" s="208"/>
      <c r="K676" s="208"/>
      <c r="N676" s="208"/>
      <c r="O676" s="208"/>
    </row>
    <row r="677" spans="1:15" ht="14.25" customHeight="1" x14ac:dyDescent="0.3">
      <c r="A677" s="208"/>
      <c r="J677" s="208"/>
      <c r="K677" s="208"/>
      <c r="N677" s="208"/>
      <c r="O677" s="208"/>
    </row>
    <row r="678" spans="1:15" ht="14.25" customHeight="1" x14ac:dyDescent="0.3">
      <c r="A678" s="208"/>
      <c r="J678" s="208"/>
      <c r="K678" s="208"/>
      <c r="N678" s="208"/>
      <c r="O678" s="208"/>
    </row>
    <row r="679" spans="1:15" ht="14.25" customHeight="1" x14ac:dyDescent="0.3">
      <c r="A679" s="208"/>
      <c r="J679" s="208"/>
      <c r="K679" s="208"/>
      <c r="N679" s="208"/>
      <c r="O679" s="208"/>
    </row>
    <row r="680" spans="1:15" ht="14.25" customHeight="1" x14ac:dyDescent="0.3">
      <c r="A680" s="208"/>
      <c r="J680" s="208"/>
      <c r="K680" s="208"/>
      <c r="N680" s="208"/>
      <c r="O680" s="208"/>
    </row>
    <row r="681" spans="1:15" ht="14.25" customHeight="1" x14ac:dyDescent="0.3">
      <c r="A681" s="208"/>
      <c r="J681" s="208"/>
      <c r="K681" s="208"/>
      <c r="N681" s="208"/>
      <c r="O681" s="208"/>
    </row>
    <row r="682" spans="1:15" ht="14.25" customHeight="1" x14ac:dyDescent="0.3">
      <c r="A682" s="208"/>
      <c r="J682" s="208"/>
      <c r="K682" s="208"/>
      <c r="N682" s="208"/>
      <c r="O682" s="208"/>
    </row>
    <row r="683" spans="1:15" ht="14.25" customHeight="1" x14ac:dyDescent="0.3">
      <c r="A683" s="208"/>
      <c r="J683" s="208"/>
      <c r="K683" s="208"/>
      <c r="N683" s="208"/>
      <c r="O683" s="208"/>
    </row>
    <row r="684" spans="1:15" ht="14.25" customHeight="1" x14ac:dyDescent="0.3">
      <c r="A684" s="208"/>
      <c r="J684" s="208"/>
      <c r="K684" s="208"/>
      <c r="N684" s="208"/>
      <c r="O684" s="208"/>
    </row>
    <row r="685" spans="1:15" ht="14.25" customHeight="1" x14ac:dyDescent="0.3">
      <c r="A685" s="208"/>
      <c r="J685" s="208"/>
      <c r="K685" s="208"/>
      <c r="N685" s="208"/>
      <c r="O685" s="208"/>
    </row>
    <row r="686" spans="1:15" ht="14.25" customHeight="1" x14ac:dyDescent="0.3">
      <c r="A686" s="208"/>
      <c r="J686" s="208"/>
      <c r="K686" s="208"/>
      <c r="N686" s="208"/>
      <c r="O686" s="208"/>
    </row>
    <row r="687" spans="1:15" ht="14.25" customHeight="1" x14ac:dyDescent="0.3">
      <c r="A687" s="208"/>
      <c r="J687" s="208"/>
      <c r="K687" s="208"/>
      <c r="N687" s="208"/>
      <c r="O687" s="208"/>
    </row>
    <row r="688" spans="1:15" ht="14.25" customHeight="1" x14ac:dyDescent="0.3">
      <c r="A688" s="208"/>
      <c r="J688" s="208"/>
      <c r="K688" s="208"/>
      <c r="N688" s="208"/>
      <c r="O688" s="208"/>
    </row>
    <row r="689" spans="1:15" ht="14.25" customHeight="1" x14ac:dyDescent="0.3">
      <c r="A689" s="208"/>
      <c r="J689" s="208"/>
      <c r="K689" s="208"/>
      <c r="N689" s="208"/>
      <c r="O689" s="208"/>
    </row>
    <row r="690" spans="1:15" ht="14.25" customHeight="1" x14ac:dyDescent="0.3">
      <c r="A690" s="208"/>
      <c r="J690" s="208"/>
      <c r="K690" s="208"/>
      <c r="N690" s="208"/>
      <c r="O690" s="208"/>
    </row>
    <row r="691" spans="1:15" ht="14.25" customHeight="1" x14ac:dyDescent="0.3">
      <c r="A691" s="208"/>
      <c r="J691" s="208"/>
      <c r="K691" s="208"/>
      <c r="N691" s="208"/>
      <c r="O691" s="208"/>
    </row>
    <row r="692" spans="1:15" ht="14.25" customHeight="1" x14ac:dyDescent="0.3">
      <c r="A692" s="208"/>
      <c r="J692" s="208"/>
      <c r="K692" s="208"/>
      <c r="N692" s="208"/>
      <c r="O692" s="208"/>
    </row>
    <row r="693" spans="1:15" ht="14.25" customHeight="1" x14ac:dyDescent="0.3">
      <c r="A693" s="208"/>
      <c r="J693" s="208"/>
      <c r="K693" s="208"/>
      <c r="N693" s="208"/>
      <c r="O693" s="208"/>
    </row>
    <row r="694" spans="1:15" ht="14.25" customHeight="1" x14ac:dyDescent="0.3">
      <c r="A694" s="208"/>
      <c r="J694" s="208"/>
      <c r="K694" s="208"/>
      <c r="N694" s="208"/>
      <c r="O694" s="208"/>
    </row>
    <row r="695" spans="1:15" ht="14.25" customHeight="1" x14ac:dyDescent="0.3">
      <c r="A695" s="208"/>
      <c r="J695" s="208"/>
      <c r="K695" s="208"/>
      <c r="N695" s="208"/>
      <c r="O695" s="208"/>
    </row>
    <row r="696" spans="1:15" ht="14.25" customHeight="1" x14ac:dyDescent="0.3">
      <c r="A696" s="208"/>
      <c r="J696" s="208"/>
      <c r="K696" s="208"/>
      <c r="N696" s="208"/>
      <c r="O696" s="208"/>
    </row>
    <row r="697" spans="1:15" ht="14.25" customHeight="1" x14ac:dyDescent="0.3">
      <c r="A697" s="208"/>
      <c r="J697" s="208"/>
      <c r="K697" s="208"/>
      <c r="N697" s="208"/>
      <c r="O697" s="208"/>
    </row>
    <row r="698" spans="1:15" ht="14.25" customHeight="1" x14ac:dyDescent="0.3">
      <c r="A698" s="208"/>
      <c r="J698" s="208"/>
      <c r="K698" s="208"/>
      <c r="N698" s="208"/>
      <c r="O698" s="208"/>
    </row>
    <row r="699" spans="1:15" ht="14.25" customHeight="1" x14ac:dyDescent="0.3">
      <c r="A699" s="208"/>
      <c r="J699" s="208"/>
      <c r="K699" s="208"/>
      <c r="N699" s="208"/>
      <c r="O699" s="208"/>
    </row>
    <row r="700" spans="1:15" ht="14.25" customHeight="1" x14ac:dyDescent="0.3">
      <c r="A700" s="208"/>
      <c r="J700" s="208"/>
      <c r="K700" s="208"/>
      <c r="N700" s="208"/>
      <c r="O700" s="208"/>
    </row>
    <row r="701" spans="1:15" ht="14.25" customHeight="1" x14ac:dyDescent="0.3">
      <c r="A701" s="208"/>
      <c r="J701" s="208"/>
      <c r="K701" s="208"/>
      <c r="N701" s="208"/>
      <c r="O701" s="208"/>
    </row>
    <row r="702" spans="1:15" ht="14.25" customHeight="1" x14ac:dyDescent="0.3">
      <c r="A702" s="208"/>
      <c r="J702" s="208"/>
      <c r="K702" s="208"/>
      <c r="N702" s="208"/>
      <c r="O702" s="208"/>
    </row>
    <row r="703" spans="1:15" ht="14.25" customHeight="1" x14ac:dyDescent="0.3">
      <c r="A703" s="208"/>
      <c r="J703" s="208"/>
      <c r="K703" s="208"/>
      <c r="N703" s="208"/>
      <c r="O703" s="208"/>
    </row>
    <row r="704" spans="1:15" ht="14.25" customHeight="1" x14ac:dyDescent="0.3">
      <c r="A704" s="208"/>
      <c r="J704" s="208"/>
      <c r="K704" s="208"/>
      <c r="N704" s="208"/>
      <c r="O704" s="208"/>
    </row>
    <row r="705" spans="1:15" ht="14.25" customHeight="1" x14ac:dyDescent="0.3">
      <c r="A705" s="208"/>
      <c r="J705" s="208"/>
      <c r="K705" s="208"/>
      <c r="N705" s="208"/>
      <c r="O705" s="208"/>
    </row>
    <row r="706" spans="1:15" ht="14.25" customHeight="1" x14ac:dyDescent="0.3">
      <c r="A706" s="208"/>
      <c r="J706" s="208"/>
      <c r="K706" s="208"/>
      <c r="N706" s="208"/>
      <c r="O706" s="208"/>
    </row>
    <row r="707" spans="1:15" ht="14.25" customHeight="1" x14ac:dyDescent="0.3">
      <c r="A707" s="208"/>
      <c r="J707" s="208"/>
      <c r="K707" s="208"/>
      <c r="N707" s="208"/>
      <c r="O707" s="208"/>
    </row>
    <row r="708" spans="1:15" ht="14.25" customHeight="1" x14ac:dyDescent="0.3">
      <c r="A708" s="208"/>
      <c r="J708" s="208"/>
      <c r="K708" s="208"/>
      <c r="N708" s="208"/>
      <c r="O708" s="208"/>
    </row>
    <row r="709" spans="1:15" ht="14.25" customHeight="1" x14ac:dyDescent="0.3">
      <c r="A709" s="208"/>
      <c r="J709" s="208"/>
      <c r="K709" s="208"/>
      <c r="N709" s="208"/>
      <c r="O709" s="208"/>
    </row>
    <row r="710" spans="1:15" ht="14.25" customHeight="1" x14ac:dyDescent="0.3">
      <c r="A710" s="208"/>
      <c r="J710" s="208"/>
      <c r="K710" s="208"/>
      <c r="N710" s="208"/>
      <c r="O710" s="208"/>
    </row>
    <row r="711" spans="1:15" ht="14.25" customHeight="1" x14ac:dyDescent="0.3">
      <c r="A711" s="208"/>
      <c r="J711" s="208"/>
      <c r="K711" s="208"/>
      <c r="N711" s="208"/>
      <c r="O711" s="208"/>
    </row>
    <row r="712" spans="1:15" ht="14.25" customHeight="1" x14ac:dyDescent="0.3">
      <c r="A712" s="208"/>
      <c r="J712" s="208"/>
      <c r="K712" s="208"/>
      <c r="N712" s="208"/>
      <c r="O712" s="208"/>
    </row>
    <row r="713" spans="1:15" ht="14.25" customHeight="1" x14ac:dyDescent="0.3">
      <c r="A713" s="208"/>
      <c r="J713" s="208"/>
      <c r="K713" s="208"/>
      <c r="N713" s="208"/>
      <c r="O713" s="208"/>
    </row>
    <row r="714" spans="1:15" ht="14.25" customHeight="1" x14ac:dyDescent="0.3">
      <c r="A714" s="208"/>
      <c r="J714" s="208"/>
      <c r="K714" s="208"/>
      <c r="N714" s="208"/>
      <c r="O714" s="208"/>
    </row>
    <row r="715" spans="1:15" ht="14.25" customHeight="1" x14ac:dyDescent="0.3">
      <c r="A715" s="208"/>
      <c r="J715" s="208"/>
      <c r="K715" s="208"/>
      <c r="N715" s="208"/>
      <c r="O715" s="208"/>
    </row>
    <row r="716" spans="1:15" ht="14.25" customHeight="1" x14ac:dyDescent="0.3">
      <c r="A716" s="208"/>
      <c r="J716" s="208"/>
      <c r="K716" s="208"/>
      <c r="N716" s="208"/>
      <c r="O716" s="208"/>
    </row>
    <row r="717" spans="1:15" ht="14.25" customHeight="1" x14ac:dyDescent="0.3">
      <c r="A717" s="208"/>
      <c r="J717" s="208"/>
      <c r="K717" s="208"/>
      <c r="N717" s="208"/>
      <c r="O717" s="208"/>
    </row>
    <row r="718" spans="1:15" ht="14.25" customHeight="1" x14ac:dyDescent="0.3">
      <c r="A718" s="208"/>
      <c r="J718" s="208"/>
      <c r="K718" s="208"/>
      <c r="N718" s="208"/>
      <c r="O718" s="208"/>
    </row>
    <row r="719" spans="1:15" ht="14.25" customHeight="1" x14ac:dyDescent="0.3">
      <c r="A719" s="208"/>
      <c r="J719" s="208"/>
      <c r="K719" s="208"/>
      <c r="N719" s="208"/>
      <c r="O719" s="208"/>
    </row>
    <row r="720" spans="1:15" ht="14.25" customHeight="1" x14ac:dyDescent="0.3">
      <c r="A720" s="208"/>
      <c r="J720" s="208"/>
      <c r="K720" s="208"/>
      <c r="N720" s="208"/>
      <c r="O720" s="208"/>
    </row>
    <row r="721" spans="1:15" ht="14.25" customHeight="1" x14ac:dyDescent="0.3">
      <c r="A721" s="208"/>
      <c r="J721" s="208"/>
      <c r="K721" s="208"/>
      <c r="N721" s="208"/>
      <c r="O721" s="208"/>
    </row>
    <row r="722" spans="1:15" ht="14.25" customHeight="1" x14ac:dyDescent="0.3">
      <c r="A722" s="208"/>
      <c r="J722" s="208"/>
      <c r="K722" s="208"/>
      <c r="N722" s="208"/>
      <c r="O722" s="208"/>
    </row>
    <row r="723" spans="1:15" ht="14.25" customHeight="1" x14ac:dyDescent="0.3">
      <c r="A723" s="208"/>
      <c r="J723" s="208"/>
      <c r="K723" s="208"/>
      <c r="N723" s="208"/>
      <c r="O723" s="208"/>
    </row>
    <row r="724" spans="1:15" ht="14.25" customHeight="1" x14ac:dyDescent="0.3">
      <c r="A724" s="208"/>
      <c r="J724" s="208"/>
      <c r="K724" s="208"/>
      <c r="N724" s="208"/>
      <c r="O724" s="208"/>
    </row>
    <row r="725" spans="1:15" ht="14.25" customHeight="1" x14ac:dyDescent="0.3">
      <c r="A725" s="208"/>
      <c r="J725" s="208"/>
      <c r="K725" s="208"/>
      <c r="N725" s="208"/>
      <c r="O725" s="208"/>
    </row>
    <row r="726" spans="1:15" ht="14.25" customHeight="1" x14ac:dyDescent="0.3">
      <c r="A726" s="208"/>
      <c r="J726" s="208"/>
      <c r="K726" s="208"/>
      <c r="N726" s="208"/>
      <c r="O726" s="208"/>
    </row>
    <row r="727" spans="1:15" ht="14.25" customHeight="1" x14ac:dyDescent="0.3">
      <c r="A727" s="208"/>
      <c r="J727" s="208"/>
      <c r="K727" s="208"/>
      <c r="N727" s="208"/>
      <c r="O727" s="208"/>
    </row>
    <row r="728" spans="1:15" ht="14.25" customHeight="1" x14ac:dyDescent="0.3">
      <c r="A728" s="208"/>
      <c r="J728" s="208"/>
      <c r="K728" s="208"/>
      <c r="N728" s="208"/>
      <c r="O728" s="208"/>
    </row>
    <row r="729" spans="1:15" ht="14.25" customHeight="1" x14ac:dyDescent="0.3">
      <c r="A729" s="208"/>
      <c r="J729" s="208"/>
      <c r="K729" s="208"/>
      <c r="N729" s="208"/>
      <c r="O729" s="208"/>
    </row>
    <row r="730" spans="1:15" ht="14.25" customHeight="1" x14ac:dyDescent="0.3">
      <c r="A730" s="208"/>
      <c r="J730" s="208"/>
      <c r="K730" s="208"/>
      <c r="N730" s="208"/>
      <c r="O730" s="208"/>
    </row>
    <row r="731" spans="1:15" ht="14.25" customHeight="1" x14ac:dyDescent="0.3">
      <c r="A731" s="208"/>
      <c r="J731" s="208"/>
      <c r="K731" s="208"/>
      <c r="N731" s="208"/>
      <c r="O731" s="208"/>
    </row>
    <row r="732" spans="1:15" ht="14.25" customHeight="1" x14ac:dyDescent="0.3">
      <c r="A732" s="208"/>
      <c r="J732" s="208"/>
      <c r="K732" s="208"/>
      <c r="N732" s="208"/>
      <c r="O732" s="208"/>
    </row>
    <row r="733" spans="1:15" ht="14.25" customHeight="1" x14ac:dyDescent="0.3">
      <c r="A733" s="208"/>
      <c r="J733" s="208"/>
      <c r="K733" s="208"/>
      <c r="N733" s="208"/>
      <c r="O733" s="208"/>
    </row>
    <row r="734" spans="1:15" ht="14.25" customHeight="1" x14ac:dyDescent="0.3">
      <c r="A734" s="208"/>
      <c r="J734" s="208"/>
      <c r="K734" s="208"/>
      <c r="N734" s="208"/>
      <c r="O734" s="208"/>
    </row>
    <row r="735" spans="1:15" ht="14.25" customHeight="1" x14ac:dyDescent="0.3">
      <c r="A735" s="208"/>
      <c r="J735" s="208"/>
      <c r="K735" s="208"/>
      <c r="N735" s="208"/>
      <c r="O735" s="208"/>
    </row>
    <row r="736" spans="1:15" ht="14.25" customHeight="1" x14ac:dyDescent="0.3">
      <c r="A736" s="208"/>
      <c r="J736" s="208"/>
      <c r="K736" s="208"/>
      <c r="N736" s="208"/>
      <c r="O736" s="208"/>
    </row>
    <row r="737" spans="1:15" ht="14.25" customHeight="1" x14ac:dyDescent="0.3">
      <c r="A737" s="208"/>
      <c r="J737" s="208"/>
      <c r="K737" s="208"/>
      <c r="N737" s="208"/>
      <c r="O737" s="208"/>
    </row>
    <row r="738" spans="1:15" ht="14.25" customHeight="1" x14ac:dyDescent="0.3">
      <c r="A738" s="208"/>
      <c r="J738" s="208"/>
      <c r="K738" s="208"/>
      <c r="N738" s="208"/>
      <c r="O738" s="208"/>
    </row>
    <row r="739" spans="1:15" ht="14.25" customHeight="1" x14ac:dyDescent="0.3">
      <c r="A739" s="208"/>
      <c r="J739" s="208"/>
      <c r="K739" s="208"/>
      <c r="N739" s="208"/>
      <c r="O739" s="208"/>
    </row>
    <row r="740" spans="1:15" ht="14.25" customHeight="1" x14ac:dyDescent="0.3">
      <c r="A740" s="208"/>
      <c r="J740" s="208"/>
      <c r="K740" s="208"/>
      <c r="N740" s="208"/>
      <c r="O740" s="208"/>
    </row>
    <row r="741" spans="1:15" ht="14.25" customHeight="1" x14ac:dyDescent="0.3">
      <c r="A741" s="208"/>
      <c r="J741" s="208"/>
      <c r="K741" s="208"/>
      <c r="N741" s="208"/>
      <c r="O741" s="208"/>
    </row>
    <row r="742" spans="1:15" ht="14.25" customHeight="1" x14ac:dyDescent="0.3">
      <c r="A742" s="208"/>
      <c r="J742" s="208"/>
      <c r="K742" s="208"/>
      <c r="N742" s="208"/>
      <c r="O742" s="208"/>
    </row>
    <row r="743" spans="1:15" ht="14.25" customHeight="1" x14ac:dyDescent="0.3">
      <c r="A743" s="208"/>
      <c r="J743" s="208"/>
      <c r="K743" s="208"/>
      <c r="N743" s="208"/>
      <c r="O743" s="208"/>
    </row>
    <row r="744" spans="1:15" ht="14.25" customHeight="1" x14ac:dyDescent="0.3">
      <c r="A744" s="208"/>
      <c r="J744" s="208"/>
      <c r="K744" s="208"/>
      <c r="N744" s="208"/>
      <c r="O744" s="208"/>
    </row>
    <row r="745" spans="1:15" ht="14.25" customHeight="1" x14ac:dyDescent="0.3">
      <c r="A745" s="208"/>
      <c r="J745" s="208"/>
      <c r="K745" s="208"/>
      <c r="N745" s="208"/>
      <c r="O745" s="208"/>
    </row>
    <row r="746" spans="1:15" ht="14.25" customHeight="1" x14ac:dyDescent="0.3">
      <c r="A746" s="208"/>
      <c r="J746" s="208"/>
      <c r="K746" s="208"/>
      <c r="N746" s="208"/>
      <c r="O746" s="208"/>
    </row>
    <row r="747" spans="1:15" ht="14.25" customHeight="1" x14ac:dyDescent="0.3">
      <c r="A747" s="208"/>
      <c r="J747" s="208"/>
      <c r="K747" s="208"/>
      <c r="N747" s="208"/>
      <c r="O747" s="208"/>
    </row>
    <row r="748" spans="1:15" ht="14.25" customHeight="1" x14ac:dyDescent="0.3">
      <c r="A748" s="208"/>
      <c r="J748" s="208"/>
      <c r="K748" s="208"/>
      <c r="N748" s="208"/>
      <c r="O748" s="208"/>
    </row>
    <row r="749" spans="1:15" ht="14.25" customHeight="1" x14ac:dyDescent="0.3">
      <c r="A749" s="208"/>
      <c r="J749" s="208"/>
      <c r="K749" s="208"/>
      <c r="N749" s="208"/>
      <c r="O749" s="208"/>
    </row>
    <row r="750" spans="1:15" ht="14.25" customHeight="1" x14ac:dyDescent="0.3">
      <c r="A750" s="208"/>
      <c r="J750" s="208"/>
      <c r="K750" s="208"/>
      <c r="N750" s="208"/>
      <c r="O750" s="208"/>
    </row>
    <row r="751" spans="1:15" ht="14.25" customHeight="1" x14ac:dyDescent="0.3">
      <c r="A751" s="208"/>
      <c r="J751" s="208"/>
      <c r="K751" s="208"/>
      <c r="N751" s="208"/>
      <c r="O751" s="208"/>
    </row>
    <row r="752" spans="1:15" ht="14.25" customHeight="1" x14ac:dyDescent="0.3">
      <c r="A752" s="208"/>
      <c r="J752" s="208"/>
      <c r="K752" s="208"/>
      <c r="N752" s="208"/>
      <c r="O752" s="208"/>
    </row>
    <row r="753" spans="1:15" ht="14.25" customHeight="1" x14ac:dyDescent="0.3">
      <c r="A753" s="208"/>
      <c r="J753" s="208"/>
      <c r="K753" s="208"/>
      <c r="N753" s="208"/>
      <c r="O753" s="208"/>
    </row>
    <row r="754" spans="1:15" ht="14.25" customHeight="1" x14ac:dyDescent="0.3">
      <c r="A754" s="208"/>
      <c r="J754" s="208"/>
      <c r="K754" s="208"/>
      <c r="N754" s="208"/>
      <c r="O754" s="208"/>
    </row>
    <row r="755" spans="1:15" ht="14.25" customHeight="1" x14ac:dyDescent="0.3">
      <c r="A755" s="208"/>
      <c r="J755" s="208"/>
      <c r="K755" s="208"/>
      <c r="N755" s="208"/>
      <c r="O755" s="208"/>
    </row>
    <row r="756" spans="1:15" ht="14.25" customHeight="1" x14ac:dyDescent="0.3">
      <c r="A756" s="208"/>
      <c r="J756" s="208"/>
      <c r="K756" s="208"/>
      <c r="N756" s="208"/>
      <c r="O756" s="208"/>
    </row>
    <row r="757" spans="1:15" ht="14.25" customHeight="1" x14ac:dyDescent="0.3">
      <c r="A757" s="208"/>
      <c r="J757" s="208"/>
      <c r="K757" s="208"/>
      <c r="N757" s="208"/>
      <c r="O757" s="208"/>
    </row>
    <row r="758" spans="1:15" ht="14.25" customHeight="1" x14ac:dyDescent="0.3">
      <c r="A758" s="208"/>
      <c r="J758" s="208"/>
      <c r="K758" s="208"/>
      <c r="N758" s="208"/>
      <c r="O758" s="208"/>
    </row>
    <row r="759" spans="1:15" ht="14.25" customHeight="1" x14ac:dyDescent="0.3">
      <c r="A759" s="208"/>
      <c r="J759" s="208"/>
      <c r="K759" s="208"/>
      <c r="N759" s="208"/>
      <c r="O759" s="208"/>
    </row>
    <row r="760" spans="1:15" ht="14.25" customHeight="1" x14ac:dyDescent="0.3">
      <c r="A760" s="208"/>
      <c r="J760" s="208"/>
      <c r="K760" s="208"/>
      <c r="N760" s="208"/>
      <c r="O760" s="208"/>
    </row>
    <row r="761" spans="1:15" ht="14.25" customHeight="1" x14ac:dyDescent="0.3">
      <c r="A761" s="208"/>
      <c r="J761" s="208"/>
      <c r="K761" s="208"/>
      <c r="N761" s="208"/>
      <c r="O761" s="208"/>
    </row>
    <row r="762" spans="1:15" ht="14.25" customHeight="1" x14ac:dyDescent="0.3">
      <c r="A762" s="208"/>
      <c r="J762" s="208"/>
      <c r="K762" s="208"/>
      <c r="N762" s="208"/>
      <c r="O762" s="208"/>
    </row>
    <row r="763" spans="1:15" ht="14.25" customHeight="1" x14ac:dyDescent="0.3">
      <c r="A763" s="208"/>
      <c r="J763" s="208"/>
      <c r="K763" s="208"/>
      <c r="N763" s="208"/>
      <c r="O763" s="208"/>
    </row>
    <row r="764" spans="1:15" ht="14.25" customHeight="1" x14ac:dyDescent="0.3">
      <c r="A764" s="208"/>
      <c r="J764" s="208"/>
      <c r="K764" s="208"/>
      <c r="N764" s="208"/>
      <c r="O764" s="208"/>
    </row>
    <row r="765" spans="1:15" ht="14.25" customHeight="1" x14ac:dyDescent="0.3">
      <c r="A765" s="208"/>
      <c r="J765" s="208"/>
      <c r="K765" s="208"/>
      <c r="N765" s="208"/>
      <c r="O765" s="208"/>
    </row>
    <row r="766" spans="1:15" ht="14.25" customHeight="1" x14ac:dyDescent="0.3">
      <c r="A766" s="208"/>
      <c r="J766" s="208"/>
      <c r="K766" s="208"/>
      <c r="N766" s="208"/>
      <c r="O766" s="208"/>
    </row>
    <row r="767" spans="1:15" ht="14.25" customHeight="1" x14ac:dyDescent="0.3">
      <c r="A767" s="208"/>
      <c r="J767" s="208"/>
      <c r="K767" s="208"/>
      <c r="N767" s="208"/>
      <c r="O767" s="208"/>
    </row>
    <row r="768" spans="1:15" ht="14.25" customHeight="1" x14ac:dyDescent="0.3">
      <c r="A768" s="208"/>
      <c r="J768" s="208"/>
      <c r="K768" s="208"/>
      <c r="N768" s="208"/>
      <c r="O768" s="208"/>
    </row>
    <row r="769" spans="1:15" ht="14.25" customHeight="1" x14ac:dyDescent="0.3">
      <c r="A769" s="208"/>
      <c r="J769" s="208"/>
      <c r="K769" s="208"/>
      <c r="N769" s="208"/>
      <c r="O769" s="208"/>
    </row>
    <row r="770" spans="1:15" ht="14.25" customHeight="1" x14ac:dyDescent="0.3">
      <c r="A770" s="208"/>
      <c r="J770" s="208"/>
      <c r="K770" s="208"/>
      <c r="N770" s="208"/>
      <c r="O770" s="208"/>
    </row>
    <row r="771" spans="1:15" ht="14.25" customHeight="1" x14ac:dyDescent="0.3">
      <c r="A771" s="208"/>
      <c r="J771" s="208"/>
      <c r="K771" s="208"/>
      <c r="N771" s="208"/>
      <c r="O771" s="208"/>
    </row>
    <row r="772" spans="1:15" ht="14.25" customHeight="1" x14ac:dyDescent="0.3">
      <c r="A772" s="208"/>
      <c r="J772" s="208"/>
      <c r="K772" s="208"/>
      <c r="N772" s="208"/>
      <c r="O772" s="208"/>
    </row>
    <row r="773" spans="1:15" ht="14.25" customHeight="1" x14ac:dyDescent="0.3">
      <c r="A773" s="208"/>
      <c r="J773" s="208"/>
      <c r="K773" s="208"/>
      <c r="N773" s="208"/>
      <c r="O773" s="208"/>
    </row>
    <row r="774" spans="1:15" ht="14.25" customHeight="1" x14ac:dyDescent="0.3">
      <c r="A774" s="208"/>
      <c r="J774" s="208"/>
      <c r="K774" s="208"/>
      <c r="N774" s="208"/>
      <c r="O774" s="208"/>
    </row>
    <row r="775" spans="1:15" ht="14.25" customHeight="1" x14ac:dyDescent="0.3">
      <c r="A775" s="208"/>
      <c r="J775" s="208"/>
      <c r="K775" s="208"/>
      <c r="N775" s="208"/>
      <c r="O775" s="208"/>
    </row>
    <row r="776" spans="1:15" ht="14.25" customHeight="1" x14ac:dyDescent="0.3">
      <c r="A776" s="208"/>
      <c r="J776" s="208"/>
      <c r="K776" s="208"/>
      <c r="N776" s="208"/>
      <c r="O776" s="208"/>
    </row>
    <row r="777" spans="1:15" ht="14.25" customHeight="1" x14ac:dyDescent="0.3">
      <c r="A777" s="208"/>
      <c r="J777" s="208"/>
      <c r="K777" s="208"/>
      <c r="N777" s="208"/>
      <c r="O777" s="208"/>
    </row>
    <row r="778" spans="1:15" ht="14.25" customHeight="1" x14ac:dyDescent="0.3">
      <c r="A778" s="208"/>
      <c r="J778" s="208"/>
      <c r="K778" s="208"/>
      <c r="N778" s="208"/>
      <c r="O778" s="208"/>
    </row>
    <row r="779" spans="1:15" ht="14.25" customHeight="1" x14ac:dyDescent="0.3">
      <c r="A779" s="208"/>
      <c r="J779" s="208"/>
      <c r="K779" s="208"/>
      <c r="N779" s="208"/>
      <c r="O779" s="208"/>
    </row>
    <row r="780" spans="1:15" ht="14.25" customHeight="1" x14ac:dyDescent="0.3">
      <c r="A780" s="208"/>
      <c r="J780" s="208"/>
      <c r="K780" s="208"/>
      <c r="N780" s="208"/>
      <c r="O780" s="208"/>
    </row>
    <row r="781" spans="1:15" ht="14.25" customHeight="1" x14ac:dyDescent="0.3">
      <c r="A781" s="208"/>
      <c r="J781" s="208"/>
      <c r="K781" s="208"/>
      <c r="N781" s="208"/>
      <c r="O781" s="208"/>
    </row>
    <row r="782" spans="1:15" ht="14.25" customHeight="1" x14ac:dyDescent="0.3">
      <c r="A782" s="208"/>
      <c r="J782" s="208"/>
      <c r="K782" s="208"/>
      <c r="N782" s="208"/>
      <c r="O782" s="208"/>
    </row>
    <row r="783" spans="1:15" ht="14.25" customHeight="1" x14ac:dyDescent="0.3">
      <c r="A783" s="208"/>
      <c r="J783" s="208"/>
      <c r="K783" s="208"/>
      <c r="N783" s="208"/>
      <c r="O783" s="208"/>
    </row>
    <row r="784" spans="1:15" ht="14.25" customHeight="1" x14ac:dyDescent="0.3">
      <c r="A784" s="208"/>
      <c r="J784" s="208"/>
      <c r="K784" s="208"/>
      <c r="N784" s="208"/>
      <c r="O784" s="208"/>
    </row>
    <row r="785" spans="1:15" ht="14.25" customHeight="1" x14ac:dyDescent="0.3">
      <c r="A785" s="208"/>
      <c r="J785" s="208"/>
      <c r="K785" s="208"/>
      <c r="N785" s="208"/>
      <c r="O785" s="208"/>
    </row>
    <row r="786" spans="1:15" ht="14.25" customHeight="1" x14ac:dyDescent="0.3">
      <c r="A786" s="208"/>
      <c r="J786" s="208"/>
      <c r="K786" s="208"/>
      <c r="N786" s="208"/>
      <c r="O786" s="208"/>
    </row>
    <row r="787" spans="1:15" ht="14.25" customHeight="1" x14ac:dyDescent="0.3">
      <c r="A787" s="208"/>
      <c r="J787" s="208"/>
      <c r="K787" s="208"/>
      <c r="N787" s="208"/>
      <c r="O787" s="208"/>
    </row>
    <row r="788" spans="1:15" ht="14.25" customHeight="1" x14ac:dyDescent="0.3">
      <c r="A788" s="208"/>
      <c r="J788" s="208"/>
      <c r="K788" s="208"/>
      <c r="N788" s="208"/>
      <c r="O788" s="208"/>
    </row>
    <row r="789" spans="1:15" ht="14.25" customHeight="1" x14ac:dyDescent="0.3">
      <c r="A789" s="208"/>
      <c r="J789" s="208"/>
      <c r="K789" s="208"/>
      <c r="N789" s="208"/>
      <c r="O789" s="208"/>
    </row>
    <row r="790" spans="1:15" ht="14.25" customHeight="1" x14ac:dyDescent="0.3">
      <c r="A790" s="208"/>
      <c r="J790" s="208"/>
      <c r="K790" s="208"/>
      <c r="N790" s="208"/>
      <c r="O790" s="208"/>
    </row>
    <row r="791" spans="1:15" ht="14.25" customHeight="1" x14ac:dyDescent="0.3">
      <c r="A791" s="208"/>
      <c r="J791" s="208"/>
      <c r="K791" s="208"/>
      <c r="N791" s="208"/>
      <c r="O791" s="208"/>
    </row>
    <row r="792" spans="1:15" ht="14.25" customHeight="1" x14ac:dyDescent="0.3">
      <c r="A792" s="208"/>
      <c r="J792" s="208"/>
      <c r="K792" s="208"/>
      <c r="N792" s="208"/>
      <c r="O792" s="208"/>
    </row>
    <row r="793" spans="1:15" ht="14.25" customHeight="1" x14ac:dyDescent="0.3">
      <c r="A793" s="208"/>
      <c r="J793" s="208"/>
      <c r="K793" s="208"/>
      <c r="N793" s="208"/>
      <c r="O793" s="208"/>
    </row>
    <row r="794" spans="1:15" ht="14.25" customHeight="1" x14ac:dyDescent="0.3">
      <c r="A794" s="208"/>
      <c r="J794" s="208"/>
      <c r="K794" s="208"/>
      <c r="N794" s="208"/>
      <c r="O794" s="208"/>
    </row>
    <row r="795" spans="1:15" ht="14.25" customHeight="1" x14ac:dyDescent="0.3">
      <c r="A795" s="208"/>
      <c r="J795" s="208"/>
      <c r="K795" s="208"/>
      <c r="N795" s="208"/>
      <c r="O795" s="208"/>
    </row>
    <row r="796" spans="1:15" ht="14.25" customHeight="1" x14ac:dyDescent="0.3">
      <c r="A796" s="208"/>
      <c r="J796" s="208"/>
      <c r="K796" s="208"/>
      <c r="N796" s="208"/>
      <c r="O796" s="208"/>
    </row>
    <row r="797" spans="1:15" ht="14.25" customHeight="1" x14ac:dyDescent="0.3">
      <c r="A797" s="208"/>
      <c r="J797" s="208"/>
      <c r="K797" s="208"/>
      <c r="N797" s="208"/>
      <c r="O797" s="208"/>
    </row>
    <row r="798" spans="1:15" ht="14.25" customHeight="1" x14ac:dyDescent="0.3">
      <c r="A798" s="208"/>
      <c r="J798" s="208"/>
      <c r="K798" s="208"/>
      <c r="N798" s="208"/>
      <c r="O798" s="208"/>
    </row>
    <row r="799" spans="1:15" ht="14.25" customHeight="1" x14ac:dyDescent="0.3">
      <c r="A799" s="208"/>
      <c r="J799" s="208"/>
      <c r="K799" s="208"/>
      <c r="N799" s="208"/>
      <c r="O799" s="208"/>
    </row>
    <row r="800" spans="1:15" ht="14.25" customHeight="1" x14ac:dyDescent="0.3">
      <c r="A800" s="208"/>
      <c r="J800" s="208"/>
      <c r="K800" s="208"/>
      <c r="N800" s="208"/>
      <c r="O800" s="208"/>
    </row>
    <row r="801" spans="1:15" ht="14.25" customHeight="1" x14ac:dyDescent="0.3">
      <c r="A801" s="208"/>
      <c r="J801" s="208"/>
      <c r="K801" s="208"/>
      <c r="N801" s="208"/>
      <c r="O801" s="208"/>
    </row>
    <row r="802" spans="1:15" ht="14.25" customHeight="1" x14ac:dyDescent="0.3">
      <c r="A802" s="208"/>
      <c r="J802" s="208"/>
      <c r="K802" s="208"/>
      <c r="N802" s="208"/>
      <c r="O802" s="208"/>
    </row>
    <row r="803" spans="1:15" ht="14.25" customHeight="1" x14ac:dyDescent="0.3">
      <c r="A803" s="208"/>
      <c r="J803" s="208"/>
      <c r="K803" s="208"/>
      <c r="N803" s="208"/>
      <c r="O803" s="208"/>
    </row>
    <row r="804" spans="1:15" ht="14.25" customHeight="1" x14ac:dyDescent="0.3">
      <c r="A804" s="208"/>
      <c r="J804" s="208"/>
      <c r="K804" s="208"/>
      <c r="N804" s="208"/>
      <c r="O804" s="208"/>
    </row>
    <row r="805" spans="1:15" ht="14.25" customHeight="1" x14ac:dyDescent="0.3">
      <c r="A805" s="208"/>
      <c r="J805" s="208"/>
      <c r="K805" s="208"/>
      <c r="N805" s="208"/>
      <c r="O805" s="208"/>
    </row>
    <row r="806" spans="1:15" ht="14.25" customHeight="1" x14ac:dyDescent="0.3">
      <c r="A806" s="208"/>
      <c r="J806" s="208"/>
      <c r="K806" s="208"/>
      <c r="N806" s="208"/>
      <c r="O806" s="208"/>
    </row>
    <row r="807" spans="1:15" ht="14.25" customHeight="1" x14ac:dyDescent="0.3">
      <c r="A807" s="208"/>
      <c r="J807" s="208"/>
      <c r="K807" s="208"/>
      <c r="N807" s="208"/>
      <c r="O807" s="208"/>
    </row>
    <row r="808" spans="1:15" ht="14.25" customHeight="1" x14ac:dyDescent="0.3">
      <c r="A808" s="208"/>
      <c r="J808" s="208"/>
      <c r="K808" s="208"/>
      <c r="N808" s="208"/>
      <c r="O808" s="208"/>
    </row>
    <row r="809" spans="1:15" ht="14.25" customHeight="1" x14ac:dyDescent="0.3">
      <c r="A809" s="208"/>
      <c r="J809" s="208"/>
      <c r="K809" s="208"/>
      <c r="N809" s="208"/>
      <c r="O809" s="208"/>
    </row>
    <row r="810" spans="1:15" ht="14.25" customHeight="1" x14ac:dyDescent="0.3">
      <c r="A810" s="208"/>
      <c r="J810" s="208"/>
      <c r="K810" s="208"/>
      <c r="N810" s="208"/>
      <c r="O810" s="208"/>
    </row>
    <row r="811" spans="1:15" ht="14.25" customHeight="1" x14ac:dyDescent="0.3">
      <c r="A811" s="208"/>
      <c r="J811" s="208"/>
      <c r="K811" s="208"/>
      <c r="N811" s="208"/>
      <c r="O811" s="208"/>
    </row>
    <row r="812" spans="1:15" ht="14.25" customHeight="1" x14ac:dyDescent="0.3">
      <c r="A812" s="208"/>
      <c r="J812" s="208"/>
      <c r="K812" s="208"/>
      <c r="N812" s="208"/>
      <c r="O812" s="208"/>
    </row>
    <row r="813" spans="1:15" ht="14.25" customHeight="1" x14ac:dyDescent="0.3">
      <c r="A813" s="208"/>
      <c r="J813" s="208"/>
      <c r="K813" s="208"/>
      <c r="N813" s="208"/>
      <c r="O813" s="208"/>
    </row>
    <row r="814" spans="1:15" ht="14.25" customHeight="1" x14ac:dyDescent="0.3">
      <c r="A814" s="208"/>
      <c r="J814" s="208"/>
      <c r="K814" s="208"/>
      <c r="N814" s="208"/>
      <c r="O814" s="208"/>
    </row>
    <row r="815" spans="1:15" ht="14.25" customHeight="1" x14ac:dyDescent="0.3">
      <c r="A815" s="208"/>
      <c r="J815" s="208"/>
      <c r="K815" s="208"/>
      <c r="N815" s="208"/>
      <c r="O815" s="208"/>
    </row>
    <row r="816" spans="1:15" ht="14.25" customHeight="1" x14ac:dyDescent="0.3">
      <c r="A816" s="208"/>
      <c r="J816" s="208"/>
      <c r="K816" s="208"/>
      <c r="N816" s="208"/>
      <c r="O816" s="208"/>
    </row>
    <row r="817" spans="1:15" ht="14.25" customHeight="1" x14ac:dyDescent="0.3">
      <c r="A817" s="208"/>
      <c r="J817" s="208"/>
      <c r="K817" s="208"/>
      <c r="N817" s="208"/>
      <c r="O817" s="208"/>
    </row>
    <row r="818" spans="1:15" ht="14.25" customHeight="1" x14ac:dyDescent="0.3">
      <c r="A818" s="208"/>
      <c r="J818" s="208"/>
      <c r="K818" s="208"/>
      <c r="N818" s="208"/>
      <c r="O818" s="208"/>
    </row>
    <row r="819" spans="1:15" ht="14.25" customHeight="1" x14ac:dyDescent="0.3">
      <c r="A819" s="208"/>
      <c r="J819" s="208"/>
      <c r="K819" s="208"/>
      <c r="N819" s="208"/>
      <c r="O819" s="208"/>
    </row>
    <row r="820" spans="1:15" ht="14.25" customHeight="1" x14ac:dyDescent="0.3">
      <c r="A820" s="208"/>
      <c r="J820" s="208"/>
      <c r="K820" s="208"/>
      <c r="N820" s="208"/>
      <c r="O820" s="208"/>
    </row>
    <row r="821" spans="1:15" ht="14.25" customHeight="1" x14ac:dyDescent="0.3">
      <c r="A821" s="208"/>
      <c r="J821" s="208"/>
      <c r="K821" s="208"/>
      <c r="N821" s="208"/>
      <c r="O821" s="208"/>
    </row>
    <row r="822" spans="1:15" ht="14.25" customHeight="1" x14ac:dyDescent="0.3">
      <c r="A822" s="208"/>
      <c r="J822" s="208"/>
      <c r="K822" s="208"/>
      <c r="N822" s="208"/>
      <c r="O822" s="208"/>
    </row>
    <row r="823" spans="1:15" ht="14.25" customHeight="1" x14ac:dyDescent="0.3">
      <c r="A823" s="208"/>
      <c r="J823" s="208"/>
      <c r="K823" s="208"/>
      <c r="N823" s="208"/>
      <c r="O823" s="208"/>
    </row>
    <row r="824" spans="1:15" ht="14.25" customHeight="1" x14ac:dyDescent="0.3">
      <c r="A824" s="208"/>
      <c r="J824" s="208"/>
      <c r="K824" s="208"/>
      <c r="N824" s="208"/>
      <c r="O824" s="208"/>
    </row>
    <row r="825" spans="1:15" ht="14.25" customHeight="1" x14ac:dyDescent="0.3">
      <c r="A825" s="208"/>
      <c r="J825" s="208"/>
      <c r="K825" s="208"/>
      <c r="N825" s="208"/>
      <c r="O825" s="208"/>
    </row>
    <row r="826" spans="1:15" ht="14.25" customHeight="1" x14ac:dyDescent="0.3">
      <c r="A826" s="208"/>
      <c r="J826" s="208"/>
      <c r="K826" s="208"/>
      <c r="N826" s="208"/>
      <c r="O826" s="208"/>
    </row>
    <row r="827" spans="1:15" ht="14.25" customHeight="1" x14ac:dyDescent="0.3">
      <c r="A827" s="208"/>
      <c r="J827" s="208"/>
      <c r="K827" s="208"/>
      <c r="N827" s="208"/>
      <c r="O827" s="208"/>
    </row>
    <row r="828" spans="1:15" ht="14.25" customHeight="1" x14ac:dyDescent="0.3">
      <c r="A828" s="208"/>
      <c r="J828" s="208"/>
      <c r="K828" s="208"/>
      <c r="N828" s="208"/>
      <c r="O828" s="208"/>
    </row>
    <row r="829" spans="1:15" ht="14.25" customHeight="1" x14ac:dyDescent="0.3">
      <c r="A829" s="208"/>
      <c r="J829" s="208"/>
      <c r="K829" s="208"/>
      <c r="N829" s="208"/>
      <c r="O829" s="208"/>
    </row>
    <row r="830" spans="1:15" ht="14.25" customHeight="1" x14ac:dyDescent="0.3">
      <c r="A830" s="208"/>
      <c r="J830" s="208"/>
      <c r="K830" s="208"/>
      <c r="N830" s="208"/>
      <c r="O830" s="208"/>
    </row>
    <row r="831" spans="1:15" ht="14.25" customHeight="1" x14ac:dyDescent="0.3">
      <c r="A831" s="208"/>
      <c r="J831" s="208"/>
      <c r="K831" s="208"/>
      <c r="N831" s="208"/>
      <c r="O831" s="208"/>
    </row>
    <row r="832" spans="1:15" ht="14.25" customHeight="1" x14ac:dyDescent="0.3">
      <c r="A832" s="208"/>
      <c r="J832" s="208"/>
      <c r="K832" s="208"/>
      <c r="N832" s="208"/>
      <c r="O832" s="208"/>
    </row>
    <row r="833" spans="1:15" ht="14.25" customHeight="1" x14ac:dyDescent="0.3">
      <c r="A833" s="208"/>
      <c r="J833" s="208"/>
      <c r="K833" s="208"/>
      <c r="N833" s="208"/>
      <c r="O833" s="208"/>
    </row>
    <row r="834" spans="1:15" ht="14.25" customHeight="1" x14ac:dyDescent="0.3">
      <c r="A834" s="208"/>
      <c r="J834" s="208"/>
      <c r="K834" s="208"/>
      <c r="N834" s="208"/>
      <c r="O834" s="208"/>
    </row>
    <row r="835" spans="1:15" ht="14.25" customHeight="1" x14ac:dyDescent="0.3">
      <c r="A835" s="208"/>
      <c r="J835" s="208"/>
      <c r="K835" s="208"/>
      <c r="N835" s="208"/>
      <c r="O835" s="208"/>
    </row>
    <row r="836" spans="1:15" ht="14.25" customHeight="1" x14ac:dyDescent="0.3">
      <c r="A836" s="208"/>
      <c r="J836" s="208"/>
      <c r="K836" s="208"/>
      <c r="N836" s="208"/>
      <c r="O836" s="208"/>
    </row>
    <row r="837" spans="1:15" ht="14.25" customHeight="1" x14ac:dyDescent="0.3">
      <c r="A837" s="208"/>
      <c r="J837" s="208"/>
      <c r="K837" s="208"/>
      <c r="N837" s="208"/>
      <c r="O837" s="208"/>
    </row>
    <row r="838" spans="1:15" ht="14.25" customHeight="1" x14ac:dyDescent="0.3">
      <c r="A838" s="208"/>
      <c r="J838" s="208"/>
      <c r="K838" s="208"/>
      <c r="N838" s="208"/>
      <c r="O838" s="208"/>
    </row>
    <row r="839" spans="1:15" ht="14.25" customHeight="1" x14ac:dyDescent="0.3">
      <c r="A839" s="208"/>
      <c r="J839" s="208"/>
      <c r="K839" s="208"/>
      <c r="N839" s="208"/>
      <c r="O839" s="208"/>
    </row>
    <row r="840" spans="1:15" ht="14.25" customHeight="1" x14ac:dyDescent="0.3">
      <c r="A840" s="208"/>
      <c r="J840" s="208"/>
      <c r="K840" s="208"/>
      <c r="N840" s="208"/>
      <c r="O840" s="208"/>
    </row>
    <row r="841" spans="1:15" ht="14.25" customHeight="1" x14ac:dyDescent="0.3">
      <c r="A841" s="208"/>
      <c r="J841" s="208"/>
      <c r="K841" s="208"/>
      <c r="N841" s="208"/>
      <c r="O841" s="208"/>
    </row>
    <row r="842" spans="1:15" ht="14.25" customHeight="1" x14ac:dyDescent="0.3">
      <c r="A842" s="208"/>
      <c r="J842" s="208"/>
      <c r="K842" s="208"/>
      <c r="N842" s="208"/>
      <c r="O842" s="208"/>
    </row>
    <row r="843" spans="1:15" ht="14.25" customHeight="1" x14ac:dyDescent="0.3">
      <c r="A843" s="208"/>
      <c r="J843" s="208"/>
      <c r="K843" s="208"/>
      <c r="N843" s="208"/>
      <c r="O843" s="208"/>
    </row>
    <row r="844" spans="1:15" ht="14.25" customHeight="1" x14ac:dyDescent="0.3">
      <c r="A844" s="208"/>
      <c r="J844" s="208"/>
      <c r="K844" s="208"/>
      <c r="N844" s="208"/>
      <c r="O844" s="208"/>
    </row>
    <row r="845" spans="1:15" ht="14.25" customHeight="1" x14ac:dyDescent="0.3">
      <c r="A845" s="208"/>
      <c r="J845" s="208"/>
      <c r="K845" s="208"/>
      <c r="N845" s="208"/>
      <c r="O845" s="208"/>
    </row>
    <row r="846" spans="1:15" ht="14.25" customHeight="1" x14ac:dyDescent="0.3">
      <c r="A846" s="208"/>
      <c r="J846" s="208"/>
      <c r="K846" s="208"/>
      <c r="N846" s="208"/>
      <c r="O846" s="208"/>
    </row>
    <row r="847" spans="1:15" ht="14.25" customHeight="1" x14ac:dyDescent="0.3">
      <c r="A847" s="208"/>
      <c r="J847" s="208"/>
      <c r="K847" s="208"/>
      <c r="N847" s="208"/>
      <c r="O847" s="208"/>
    </row>
    <row r="848" spans="1:15" ht="14.25" customHeight="1" x14ac:dyDescent="0.3">
      <c r="A848" s="208"/>
      <c r="J848" s="208"/>
      <c r="K848" s="208"/>
      <c r="N848" s="208"/>
      <c r="O848" s="208"/>
    </row>
    <row r="849" spans="1:15" ht="14.25" customHeight="1" x14ac:dyDescent="0.3">
      <c r="A849" s="208"/>
      <c r="J849" s="208"/>
      <c r="K849" s="208"/>
      <c r="N849" s="208"/>
      <c r="O849" s="208"/>
    </row>
    <row r="850" spans="1:15" ht="14.25" customHeight="1" x14ac:dyDescent="0.3">
      <c r="A850" s="208"/>
      <c r="J850" s="208"/>
      <c r="K850" s="208"/>
      <c r="N850" s="208"/>
      <c r="O850" s="208"/>
    </row>
    <row r="851" spans="1:15" ht="14.25" customHeight="1" x14ac:dyDescent="0.3">
      <c r="A851" s="208"/>
      <c r="J851" s="208"/>
      <c r="K851" s="208"/>
      <c r="N851" s="208"/>
      <c r="O851" s="208"/>
    </row>
    <row r="852" spans="1:15" ht="14.25" customHeight="1" x14ac:dyDescent="0.3">
      <c r="A852" s="208"/>
      <c r="J852" s="208"/>
      <c r="K852" s="208"/>
      <c r="N852" s="208"/>
      <c r="O852" s="208"/>
    </row>
    <row r="853" spans="1:15" ht="14.25" customHeight="1" x14ac:dyDescent="0.3">
      <c r="A853" s="208"/>
      <c r="J853" s="208"/>
      <c r="K853" s="208"/>
      <c r="N853" s="208"/>
      <c r="O853" s="208"/>
    </row>
    <row r="854" spans="1:15" ht="14.25" customHeight="1" x14ac:dyDescent="0.3">
      <c r="A854" s="208"/>
      <c r="J854" s="208"/>
      <c r="K854" s="208"/>
      <c r="N854" s="208"/>
      <c r="O854" s="208"/>
    </row>
    <row r="855" spans="1:15" ht="14.25" customHeight="1" x14ac:dyDescent="0.3">
      <c r="A855" s="208"/>
      <c r="J855" s="208"/>
      <c r="K855" s="208"/>
      <c r="N855" s="208"/>
      <c r="O855" s="208"/>
    </row>
    <row r="856" spans="1:15" ht="14.25" customHeight="1" x14ac:dyDescent="0.3">
      <c r="A856" s="208"/>
      <c r="J856" s="208"/>
      <c r="K856" s="208"/>
      <c r="N856" s="208"/>
      <c r="O856" s="208"/>
    </row>
    <row r="857" spans="1:15" ht="14.25" customHeight="1" x14ac:dyDescent="0.3">
      <c r="A857" s="208"/>
      <c r="J857" s="208"/>
      <c r="K857" s="208"/>
      <c r="N857" s="208"/>
      <c r="O857" s="208"/>
    </row>
    <row r="858" spans="1:15" ht="14.25" customHeight="1" x14ac:dyDescent="0.3">
      <c r="A858" s="208"/>
      <c r="J858" s="208"/>
      <c r="K858" s="208"/>
      <c r="N858" s="208"/>
      <c r="O858" s="208"/>
    </row>
    <row r="859" spans="1:15" ht="14.25" customHeight="1" x14ac:dyDescent="0.3">
      <c r="A859" s="208"/>
      <c r="J859" s="208"/>
      <c r="K859" s="208"/>
      <c r="N859" s="208"/>
      <c r="O859" s="208"/>
    </row>
    <row r="860" spans="1:15" ht="14.25" customHeight="1" x14ac:dyDescent="0.3">
      <c r="A860" s="208"/>
      <c r="J860" s="208"/>
      <c r="K860" s="208"/>
      <c r="N860" s="208"/>
      <c r="O860" s="208"/>
    </row>
    <row r="861" spans="1:15" ht="14.25" customHeight="1" x14ac:dyDescent="0.3">
      <c r="A861" s="208"/>
      <c r="J861" s="208"/>
      <c r="K861" s="208"/>
      <c r="N861" s="208"/>
      <c r="O861" s="208"/>
    </row>
    <row r="862" spans="1:15" ht="14.25" customHeight="1" x14ac:dyDescent="0.3">
      <c r="A862" s="208"/>
      <c r="J862" s="208"/>
      <c r="K862" s="208"/>
      <c r="N862" s="208"/>
      <c r="O862" s="208"/>
    </row>
    <row r="863" spans="1:15" ht="14.25" customHeight="1" x14ac:dyDescent="0.3">
      <c r="A863" s="208"/>
      <c r="J863" s="208"/>
      <c r="K863" s="208"/>
      <c r="N863" s="208"/>
      <c r="O863" s="208"/>
    </row>
    <row r="864" spans="1:15" ht="14.25" customHeight="1" x14ac:dyDescent="0.3">
      <c r="A864" s="208"/>
      <c r="J864" s="208"/>
      <c r="K864" s="208"/>
      <c r="N864" s="208"/>
      <c r="O864" s="208"/>
    </row>
    <row r="865" spans="1:15" ht="14.25" customHeight="1" x14ac:dyDescent="0.3">
      <c r="A865" s="208"/>
      <c r="J865" s="208"/>
      <c r="K865" s="208"/>
      <c r="N865" s="208"/>
      <c r="O865" s="208"/>
    </row>
    <row r="866" spans="1:15" ht="14.25" customHeight="1" x14ac:dyDescent="0.3">
      <c r="A866" s="208"/>
      <c r="J866" s="208"/>
      <c r="K866" s="208"/>
      <c r="N866" s="208"/>
      <c r="O866" s="208"/>
    </row>
    <row r="867" spans="1:15" ht="14.25" customHeight="1" x14ac:dyDescent="0.3">
      <c r="A867" s="208"/>
      <c r="J867" s="208"/>
      <c r="K867" s="208"/>
      <c r="N867" s="208"/>
      <c r="O867" s="208"/>
    </row>
    <row r="868" spans="1:15" ht="14.25" customHeight="1" x14ac:dyDescent="0.3">
      <c r="A868" s="208"/>
      <c r="J868" s="208"/>
      <c r="K868" s="208"/>
      <c r="N868" s="208"/>
      <c r="O868" s="208"/>
    </row>
    <row r="869" spans="1:15" ht="14.25" customHeight="1" x14ac:dyDescent="0.3">
      <c r="A869" s="208"/>
      <c r="J869" s="208"/>
      <c r="K869" s="208"/>
      <c r="N869" s="208"/>
      <c r="O869" s="208"/>
    </row>
    <row r="870" spans="1:15" ht="14.25" customHeight="1" x14ac:dyDescent="0.3">
      <c r="A870" s="208"/>
      <c r="J870" s="208"/>
      <c r="K870" s="208"/>
      <c r="N870" s="208"/>
      <c r="O870" s="208"/>
    </row>
    <row r="871" spans="1:15" ht="14.25" customHeight="1" x14ac:dyDescent="0.3">
      <c r="A871" s="208"/>
      <c r="J871" s="208"/>
      <c r="K871" s="208"/>
      <c r="N871" s="208"/>
      <c r="O871" s="208"/>
    </row>
    <row r="872" spans="1:15" ht="14.25" customHeight="1" x14ac:dyDescent="0.3">
      <c r="A872" s="208"/>
      <c r="J872" s="208"/>
      <c r="K872" s="208"/>
      <c r="N872" s="208"/>
      <c r="O872" s="208"/>
    </row>
    <row r="873" spans="1:15" ht="14.25" customHeight="1" x14ac:dyDescent="0.3">
      <c r="A873" s="208"/>
      <c r="J873" s="208"/>
      <c r="K873" s="208"/>
      <c r="N873" s="208"/>
      <c r="O873" s="208"/>
    </row>
    <row r="874" spans="1:15" ht="14.25" customHeight="1" x14ac:dyDescent="0.3">
      <c r="A874" s="208"/>
      <c r="J874" s="208"/>
      <c r="K874" s="208"/>
      <c r="N874" s="208"/>
      <c r="O874" s="208"/>
    </row>
    <row r="875" spans="1:15" ht="14.25" customHeight="1" x14ac:dyDescent="0.3">
      <c r="A875" s="208"/>
      <c r="J875" s="208"/>
      <c r="K875" s="208"/>
      <c r="N875" s="208"/>
      <c r="O875" s="208"/>
    </row>
    <row r="876" spans="1:15" ht="14.25" customHeight="1" x14ac:dyDescent="0.3">
      <c r="A876" s="208"/>
      <c r="J876" s="208"/>
      <c r="K876" s="208"/>
      <c r="N876" s="208"/>
      <c r="O876" s="208"/>
    </row>
    <row r="877" spans="1:15" ht="14.25" customHeight="1" x14ac:dyDescent="0.3">
      <c r="A877" s="208"/>
      <c r="J877" s="208"/>
      <c r="K877" s="208"/>
      <c r="N877" s="208"/>
      <c r="O877" s="208"/>
    </row>
    <row r="878" spans="1:15" ht="14.25" customHeight="1" x14ac:dyDescent="0.3">
      <c r="A878" s="208"/>
      <c r="J878" s="208"/>
      <c r="K878" s="208"/>
      <c r="N878" s="208"/>
      <c r="O878" s="208"/>
    </row>
    <row r="879" spans="1:15" ht="14.25" customHeight="1" x14ac:dyDescent="0.3">
      <c r="A879" s="208"/>
      <c r="J879" s="208"/>
      <c r="K879" s="208"/>
      <c r="N879" s="208"/>
      <c r="O879" s="208"/>
    </row>
    <row r="880" spans="1:15" ht="14.25" customHeight="1" x14ac:dyDescent="0.3">
      <c r="A880" s="208"/>
      <c r="J880" s="208"/>
      <c r="K880" s="208"/>
      <c r="N880" s="208"/>
      <c r="O880" s="208"/>
    </row>
    <row r="881" spans="1:15" ht="14.25" customHeight="1" x14ac:dyDescent="0.3">
      <c r="A881" s="208"/>
      <c r="J881" s="208"/>
      <c r="K881" s="208"/>
      <c r="N881" s="208"/>
      <c r="O881" s="208"/>
    </row>
    <row r="882" spans="1:15" ht="14.25" customHeight="1" x14ac:dyDescent="0.3">
      <c r="A882" s="208"/>
      <c r="J882" s="208"/>
      <c r="K882" s="208"/>
      <c r="N882" s="208"/>
      <c r="O882" s="208"/>
    </row>
    <row r="883" spans="1:15" ht="14.25" customHeight="1" x14ac:dyDescent="0.3">
      <c r="A883" s="208"/>
      <c r="J883" s="208"/>
      <c r="K883" s="208"/>
      <c r="N883" s="208"/>
      <c r="O883" s="208"/>
    </row>
    <row r="884" spans="1:15" ht="14.25" customHeight="1" x14ac:dyDescent="0.3">
      <c r="A884" s="208"/>
      <c r="J884" s="208"/>
      <c r="K884" s="208"/>
      <c r="N884" s="208"/>
      <c r="O884" s="208"/>
    </row>
    <row r="885" spans="1:15" ht="14.25" customHeight="1" x14ac:dyDescent="0.3">
      <c r="A885" s="208"/>
      <c r="J885" s="208"/>
      <c r="K885" s="208"/>
      <c r="N885" s="208"/>
      <c r="O885" s="208"/>
    </row>
    <row r="886" spans="1:15" ht="14.25" customHeight="1" x14ac:dyDescent="0.3">
      <c r="A886" s="208"/>
      <c r="J886" s="208"/>
      <c r="K886" s="208"/>
      <c r="N886" s="208"/>
      <c r="O886" s="208"/>
    </row>
    <row r="887" spans="1:15" ht="14.25" customHeight="1" x14ac:dyDescent="0.3">
      <c r="A887" s="208"/>
      <c r="J887" s="208"/>
      <c r="K887" s="208"/>
      <c r="N887" s="208"/>
      <c r="O887" s="208"/>
    </row>
    <row r="888" spans="1:15" ht="14.25" customHeight="1" x14ac:dyDescent="0.3">
      <c r="A888" s="208"/>
      <c r="J888" s="208"/>
      <c r="K888" s="208"/>
      <c r="N888" s="208"/>
      <c r="O888" s="208"/>
    </row>
    <row r="889" spans="1:15" ht="14.25" customHeight="1" x14ac:dyDescent="0.3">
      <c r="A889" s="208"/>
      <c r="J889" s="208"/>
      <c r="K889" s="208"/>
      <c r="N889" s="208"/>
      <c r="O889" s="208"/>
    </row>
    <row r="890" spans="1:15" ht="14.25" customHeight="1" x14ac:dyDescent="0.3">
      <c r="A890" s="208"/>
      <c r="J890" s="208"/>
      <c r="K890" s="208"/>
      <c r="N890" s="208"/>
      <c r="O890" s="208"/>
    </row>
    <row r="891" spans="1:15" ht="14.25" customHeight="1" x14ac:dyDescent="0.3">
      <c r="A891" s="208"/>
      <c r="J891" s="208"/>
      <c r="K891" s="208"/>
      <c r="N891" s="208"/>
      <c r="O891" s="208"/>
    </row>
    <row r="892" spans="1:15" ht="14.25" customHeight="1" x14ac:dyDescent="0.3">
      <c r="A892" s="208"/>
      <c r="J892" s="208"/>
      <c r="K892" s="208"/>
      <c r="N892" s="208"/>
      <c r="O892" s="208"/>
    </row>
    <row r="893" spans="1:15" ht="14.25" customHeight="1" x14ac:dyDescent="0.3">
      <c r="A893" s="208"/>
      <c r="J893" s="208"/>
      <c r="K893" s="208"/>
      <c r="N893" s="208"/>
      <c r="O893" s="208"/>
    </row>
    <row r="894" spans="1:15" ht="14.25" customHeight="1" x14ac:dyDescent="0.3">
      <c r="A894" s="208"/>
      <c r="J894" s="208"/>
      <c r="K894" s="208"/>
      <c r="N894" s="208"/>
      <c r="O894" s="208"/>
    </row>
    <row r="895" spans="1:15" ht="14.25" customHeight="1" x14ac:dyDescent="0.3">
      <c r="A895" s="208"/>
      <c r="J895" s="208"/>
      <c r="K895" s="208"/>
      <c r="N895" s="208"/>
      <c r="O895" s="208"/>
    </row>
    <row r="896" spans="1:15" ht="14.25" customHeight="1" x14ac:dyDescent="0.3">
      <c r="A896" s="208"/>
      <c r="J896" s="208"/>
      <c r="K896" s="208"/>
      <c r="N896" s="208"/>
      <c r="O896" s="208"/>
    </row>
    <row r="897" spans="1:15" ht="14.25" customHeight="1" x14ac:dyDescent="0.3">
      <c r="A897" s="208"/>
      <c r="J897" s="208"/>
      <c r="K897" s="208"/>
      <c r="N897" s="208"/>
      <c r="O897" s="208"/>
    </row>
    <row r="898" spans="1:15" ht="14.25" customHeight="1" x14ac:dyDescent="0.3">
      <c r="A898" s="208"/>
      <c r="J898" s="208"/>
      <c r="K898" s="208"/>
      <c r="N898" s="208"/>
      <c r="O898" s="208"/>
    </row>
    <row r="899" spans="1:15" ht="14.25" customHeight="1" x14ac:dyDescent="0.3">
      <c r="A899" s="208"/>
      <c r="J899" s="208"/>
      <c r="K899" s="208"/>
      <c r="N899" s="208"/>
      <c r="O899" s="208"/>
    </row>
    <row r="900" spans="1:15" ht="14.25" customHeight="1" x14ac:dyDescent="0.3">
      <c r="A900" s="208"/>
      <c r="J900" s="208"/>
      <c r="K900" s="208"/>
      <c r="N900" s="208"/>
      <c r="O900" s="208"/>
    </row>
    <row r="901" spans="1:15" ht="14.25" customHeight="1" x14ac:dyDescent="0.3">
      <c r="A901" s="208"/>
      <c r="J901" s="208"/>
      <c r="K901" s="208"/>
      <c r="N901" s="208"/>
      <c r="O901" s="208"/>
    </row>
    <row r="902" spans="1:15" ht="14.25" customHeight="1" x14ac:dyDescent="0.3">
      <c r="A902" s="208"/>
      <c r="J902" s="208"/>
      <c r="K902" s="208"/>
      <c r="N902" s="208"/>
      <c r="O902" s="208"/>
    </row>
    <row r="903" spans="1:15" ht="14.25" customHeight="1" x14ac:dyDescent="0.3">
      <c r="A903" s="208"/>
      <c r="J903" s="208"/>
      <c r="K903" s="208"/>
      <c r="N903" s="208"/>
      <c r="O903" s="208"/>
    </row>
    <row r="904" spans="1:15" ht="14.25" customHeight="1" x14ac:dyDescent="0.3">
      <c r="A904" s="208"/>
      <c r="J904" s="208"/>
      <c r="K904" s="208"/>
      <c r="N904" s="208"/>
      <c r="O904" s="208"/>
    </row>
    <row r="905" spans="1:15" ht="14.25" customHeight="1" x14ac:dyDescent="0.3">
      <c r="A905" s="208"/>
      <c r="J905" s="208"/>
      <c r="K905" s="208"/>
      <c r="N905" s="208"/>
      <c r="O905" s="208"/>
    </row>
    <row r="906" spans="1:15" ht="14.25" customHeight="1" x14ac:dyDescent="0.3">
      <c r="A906" s="208"/>
      <c r="J906" s="208"/>
      <c r="K906" s="208"/>
      <c r="N906" s="208"/>
      <c r="O906" s="208"/>
    </row>
    <row r="907" spans="1:15" ht="14.25" customHeight="1" x14ac:dyDescent="0.3">
      <c r="A907" s="208"/>
      <c r="J907" s="208"/>
      <c r="K907" s="208"/>
      <c r="N907" s="208"/>
      <c r="O907" s="208"/>
    </row>
    <row r="908" spans="1:15" ht="14.25" customHeight="1" x14ac:dyDescent="0.3">
      <c r="A908" s="208"/>
      <c r="J908" s="208"/>
      <c r="K908" s="208"/>
      <c r="N908" s="208"/>
      <c r="O908" s="208"/>
    </row>
    <row r="909" spans="1:15" ht="14.25" customHeight="1" x14ac:dyDescent="0.3">
      <c r="A909" s="208"/>
      <c r="J909" s="208"/>
      <c r="K909" s="208"/>
      <c r="N909" s="208"/>
      <c r="O909" s="208"/>
    </row>
    <row r="910" spans="1:15" ht="14.25" customHeight="1" x14ac:dyDescent="0.3">
      <c r="A910" s="208"/>
      <c r="J910" s="208"/>
      <c r="K910" s="208"/>
      <c r="N910" s="208"/>
      <c r="O910" s="208"/>
    </row>
    <row r="911" spans="1:15" ht="14.25" customHeight="1" x14ac:dyDescent="0.3">
      <c r="A911" s="208"/>
      <c r="J911" s="208"/>
      <c r="K911" s="208"/>
      <c r="N911" s="208"/>
      <c r="O911" s="208"/>
    </row>
    <row r="912" spans="1:15" ht="14.25" customHeight="1" x14ac:dyDescent="0.3">
      <c r="A912" s="208"/>
      <c r="J912" s="208"/>
      <c r="K912" s="208"/>
      <c r="N912" s="208"/>
      <c r="O912" s="208"/>
    </row>
    <row r="913" spans="1:15" ht="14.25" customHeight="1" x14ac:dyDescent="0.3">
      <c r="A913" s="208"/>
      <c r="J913" s="208"/>
      <c r="K913" s="208"/>
      <c r="N913" s="208"/>
      <c r="O913" s="208"/>
    </row>
    <row r="914" spans="1:15" ht="14.25" customHeight="1" x14ac:dyDescent="0.3">
      <c r="A914" s="208"/>
      <c r="J914" s="208"/>
      <c r="K914" s="208"/>
      <c r="N914" s="208"/>
      <c r="O914" s="208"/>
    </row>
    <row r="915" spans="1:15" ht="14.25" customHeight="1" x14ac:dyDescent="0.3">
      <c r="A915" s="208"/>
      <c r="J915" s="208"/>
      <c r="K915" s="208"/>
      <c r="N915" s="208"/>
      <c r="O915" s="208"/>
    </row>
    <row r="916" spans="1:15" ht="14.25" customHeight="1" x14ac:dyDescent="0.3">
      <c r="A916" s="208"/>
      <c r="J916" s="208"/>
      <c r="K916" s="208"/>
      <c r="N916" s="208"/>
      <c r="O916" s="208"/>
    </row>
    <row r="917" spans="1:15" ht="14.25" customHeight="1" x14ac:dyDescent="0.3">
      <c r="A917" s="208"/>
      <c r="J917" s="208"/>
      <c r="K917" s="208"/>
      <c r="N917" s="208"/>
      <c r="O917" s="208"/>
    </row>
    <row r="918" spans="1:15" ht="14.25" customHeight="1" x14ac:dyDescent="0.3">
      <c r="A918" s="208"/>
      <c r="J918" s="208"/>
      <c r="K918" s="208"/>
      <c r="N918" s="208"/>
      <c r="O918" s="208"/>
    </row>
    <row r="919" spans="1:15" ht="14.25" customHeight="1" x14ac:dyDescent="0.3">
      <c r="A919" s="208"/>
      <c r="J919" s="208"/>
      <c r="K919" s="208"/>
      <c r="N919" s="208"/>
      <c r="O919" s="208"/>
    </row>
    <row r="920" spans="1:15" ht="14.25" customHeight="1" x14ac:dyDescent="0.3">
      <c r="A920" s="208"/>
      <c r="J920" s="208"/>
      <c r="K920" s="208"/>
      <c r="N920" s="208"/>
      <c r="O920" s="208"/>
    </row>
    <row r="921" spans="1:15" ht="14.25" customHeight="1" x14ac:dyDescent="0.3">
      <c r="A921" s="208"/>
      <c r="J921" s="208"/>
      <c r="K921" s="208"/>
      <c r="N921" s="208"/>
      <c r="O921" s="208"/>
    </row>
    <row r="922" spans="1:15" ht="14.25" customHeight="1" x14ac:dyDescent="0.3">
      <c r="A922" s="208"/>
      <c r="J922" s="208"/>
      <c r="K922" s="208"/>
      <c r="N922" s="208"/>
      <c r="O922" s="208"/>
    </row>
    <row r="923" spans="1:15" ht="14.25" customHeight="1" x14ac:dyDescent="0.3">
      <c r="A923" s="208"/>
      <c r="J923" s="208"/>
      <c r="K923" s="208"/>
      <c r="N923" s="208"/>
      <c r="O923" s="208"/>
    </row>
    <row r="924" spans="1:15" ht="14.25" customHeight="1" x14ac:dyDescent="0.3">
      <c r="A924" s="208"/>
      <c r="J924" s="208"/>
      <c r="K924" s="208"/>
      <c r="N924" s="208"/>
      <c r="O924" s="208"/>
    </row>
    <row r="925" spans="1:15" ht="14.25" customHeight="1" x14ac:dyDescent="0.3">
      <c r="A925" s="208"/>
      <c r="J925" s="208"/>
      <c r="K925" s="208"/>
      <c r="N925" s="208"/>
      <c r="O925" s="208"/>
    </row>
    <row r="926" spans="1:15" ht="14.25" customHeight="1" x14ac:dyDescent="0.3">
      <c r="A926" s="208"/>
      <c r="J926" s="208"/>
      <c r="K926" s="208"/>
      <c r="N926" s="208"/>
      <c r="O926" s="208"/>
    </row>
    <row r="927" spans="1:15" ht="14.25" customHeight="1" x14ac:dyDescent="0.3">
      <c r="A927" s="208"/>
      <c r="J927" s="208"/>
      <c r="K927" s="208"/>
      <c r="N927" s="208"/>
      <c r="O927" s="208"/>
    </row>
    <row r="928" spans="1:15" ht="14.25" customHeight="1" x14ac:dyDescent="0.3">
      <c r="A928" s="208"/>
      <c r="J928" s="208"/>
      <c r="K928" s="208"/>
      <c r="N928" s="208"/>
      <c r="O928" s="208"/>
    </row>
    <row r="929" spans="1:15" ht="14.25" customHeight="1" x14ac:dyDescent="0.3">
      <c r="A929" s="208"/>
      <c r="J929" s="208"/>
      <c r="K929" s="208"/>
      <c r="N929" s="208"/>
      <c r="O929" s="208"/>
    </row>
    <row r="930" spans="1:15" ht="14.25" customHeight="1" x14ac:dyDescent="0.3">
      <c r="A930" s="208"/>
      <c r="J930" s="208"/>
      <c r="K930" s="208"/>
      <c r="N930" s="208"/>
      <c r="O930" s="208"/>
    </row>
    <row r="931" spans="1:15" ht="14.25" customHeight="1" x14ac:dyDescent="0.3">
      <c r="A931" s="208"/>
      <c r="J931" s="208"/>
      <c r="K931" s="208"/>
      <c r="N931" s="208"/>
      <c r="O931" s="208"/>
    </row>
    <row r="932" spans="1:15" ht="14.25" customHeight="1" x14ac:dyDescent="0.3">
      <c r="A932" s="208"/>
      <c r="J932" s="208"/>
      <c r="K932" s="208"/>
      <c r="N932" s="208"/>
      <c r="O932" s="208"/>
    </row>
    <row r="933" spans="1:15" ht="14.25" customHeight="1" x14ac:dyDescent="0.3">
      <c r="A933" s="208"/>
      <c r="J933" s="208"/>
      <c r="K933" s="208"/>
      <c r="N933" s="208"/>
      <c r="O933" s="208"/>
    </row>
    <row r="934" spans="1:15" ht="14.25" customHeight="1" x14ac:dyDescent="0.3">
      <c r="A934" s="208"/>
      <c r="J934" s="208"/>
      <c r="K934" s="208"/>
      <c r="N934" s="208"/>
      <c r="O934" s="208"/>
    </row>
    <row r="935" spans="1:15" ht="14.25" customHeight="1" x14ac:dyDescent="0.3">
      <c r="A935" s="208"/>
      <c r="J935" s="208"/>
      <c r="K935" s="208"/>
      <c r="N935" s="208"/>
      <c r="O935" s="208"/>
    </row>
    <row r="936" spans="1:15" ht="14.25" customHeight="1" x14ac:dyDescent="0.3">
      <c r="A936" s="208"/>
      <c r="J936" s="208"/>
      <c r="K936" s="208"/>
      <c r="N936" s="208"/>
      <c r="O936" s="208"/>
    </row>
    <row r="937" spans="1:15" ht="14.25" customHeight="1" x14ac:dyDescent="0.3">
      <c r="A937" s="208"/>
      <c r="J937" s="208"/>
      <c r="K937" s="208"/>
      <c r="N937" s="208"/>
      <c r="O937" s="208"/>
    </row>
    <row r="938" spans="1:15" ht="14.25" customHeight="1" x14ac:dyDescent="0.3">
      <c r="A938" s="208"/>
      <c r="J938" s="208"/>
      <c r="K938" s="208"/>
      <c r="N938" s="208"/>
      <c r="O938" s="208"/>
    </row>
    <row r="939" spans="1:15" ht="14.25" customHeight="1" x14ac:dyDescent="0.3">
      <c r="A939" s="208"/>
      <c r="J939" s="208"/>
      <c r="K939" s="208"/>
      <c r="N939" s="208"/>
      <c r="O939" s="208"/>
    </row>
    <row r="940" spans="1:15" ht="14.25" customHeight="1" x14ac:dyDescent="0.3">
      <c r="A940" s="208"/>
      <c r="J940" s="208"/>
      <c r="K940" s="208"/>
      <c r="N940" s="208"/>
      <c r="O940" s="208"/>
    </row>
    <row r="941" spans="1:15" ht="14.25" customHeight="1" x14ac:dyDescent="0.3">
      <c r="A941" s="208"/>
      <c r="J941" s="208"/>
      <c r="K941" s="208"/>
      <c r="N941" s="208"/>
      <c r="O941" s="208"/>
    </row>
    <row r="942" spans="1:15" ht="14.25" customHeight="1" x14ac:dyDescent="0.3">
      <c r="A942" s="208"/>
      <c r="J942" s="208"/>
      <c r="K942" s="208"/>
      <c r="N942" s="208"/>
      <c r="O942" s="208"/>
    </row>
    <row r="943" spans="1:15" ht="14.25" customHeight="1" x14ac:dyDescent="0.3">
      <c r="A943" s="208"/>
      <c r="J943" s="208"/>
      <c r="K943" s="208"/>
      <c r="N943" s="208"/>
      <c r="O943" s="208"/>
    </row>
    <row r="944" spans="1:15" ht="14.25" customHeight="1" x14ac:dyDescent="0.3">
      <c r="A944" s="208"/>
      <c r="J944" s="208"/>
      <c r="K944" s="208"/>
      <c r="N944" s="208"/>
      <c r="O944" s="208"/>
    </row>
    <row r="945" spans="1:15" ht="14.25" customHeight="1" x14ac:dyDescent="0.3">
      <c r="A945" s="208"/>
      <c r="J945" s="208"/>
      <c r="K945" s="208"/>
      <c r="N945" s="208"/>
      <c r="O945" s="208"/>
    </row>
    <row r="946" spans="1:15" ht="14.25" customHeight="1" x14ac:dyDescent="0.3">
      <c r="A946" s="208"/>
      <c r="J946" s="208"/>
      <c r="K946" s="208"/>
      <c r="N946" s="208"/>
      <c r="O946" s="208"/>
    </row>
    <row r="947" spans="1:15" ht="14.25" customHeight="1" x14ac:dyDescent="0.3">
      <c r="A947" s="208"/>
      <c r="J947" s="208"/>
      <c r="K947" s="208"/>
      <c r="N947" s="208"/>
      <c r="O947" s="208"/>
    </row>
    <row r="948" spans="1:15" ht="14.25" customHeight="1" x14ac:dyDescent="0.3">
      <c r="A948" s="208"/>
      <c r="J948" s="208"/>
      <c r="K948" s="208"/>
      <c r="N948" s="208"/>
      <c r="O948" s="208"/>
    </row>
    <row r="949" spans="1:15" ht="14.25" customHeight="1" x14ac:dyDescent="0.3">
      <c r="A949" s="208"/>
      <c r="J949" s="208"/>
      <c r="K949" s="208"/>
      <c r="N949" s="208"/>
      <c r="O949" s="208"/>
    </row>
    <row r="950" spans="1:15" ht="14.25" customHeight="1" x14ac:dyDescent="0.3">
      <c r="A950" s="208"/>
      <c r="J950" s="208"/>
      <c r="K950" s="208"/>
      <c r="N950" s="208"/>
      <c r="O950" s="208"/>
    </row>
    <row r="951" spans="1:15" ht="14.25" customHeight="1" x14ac:dyDescent="0.3">
      <c r="A951" s="208"/>
      <c r="J951" s="208"/>
      <c r="K951" s="208"/>
      <c r="N951" s="208"/>
      <c r="O951" s="208"/>
    </row>
    <row r="952" spans="1:15" ht="14.25" customHeight="1" x14ac:dyDescent="0.3">
      <c r="A952" s="208"/>
      <c r="J952" s="208"/>
      <c r="K952" s="208"/>
      <c r="N952" s="208"/>
      <c r="O952" s="208"/>
    </row>
    <row r="953" spans="1:15" ht="14.25" customHeight="1" x14ac:dyDescent="0.3">
      <c r="A953" s="208"/>
      <c r="J953" s="208"/>
      <c r="K953" s="208"/>
      <c r="N953" s="208"/>
      <c r="O953" s="208"/>
    </row>
    <row r="954" spans="1:15" ht="14.25" customHeight="1" x14ac:dyDescent="0.3">
      <c r="A954" s="208"/>
      <c r="J954" s="208"/>
      <c r="K954" s="208"/>
      <c r="N954" s="208"/>
      <c r="O954" s="208"/>
    </row>
    <row r="955" spans="1:15" ht="14.25" customHeight="1" x14ac:dyDescent="0.3">
      <c r="A955" s="208"/>
      <c r="J955" s="208"/>
      <c r="K955" s="208"/>
      <c r="N955" s="208"/>
      <c r="O955" s="208"/>
    </row>
    <row r="956" spans="1:15" ht="14.25" customHeight="1" x14ac:dyDescent="0.3">
      <c r="A956" s="208"/>
      <c r="J956" s="208"/>
      <c r="K956" s="208"/>
      <c r="N956" s="208"/>
      <c r="O956" s="208"/>
    </row>
    <row r="957" spans="1:15" ht="14.25" customHeight="1" x14ac:dyDescent="0.3">
      <c r="A957" s="208"/>
      <c r="J957" s="208"/>
      <c r="K957" s="208"/>
      <c r="N957" s="208"/>
      <c r="O957" s="208"/>
    </row>
    <row r="958" spans="1:15" ht="14.25" customHeight="1" x14ac:dyDescent="0.3">
      <c r="A958" s="208"/>
      <c r="J958" s="208"/>
      <c r="K958" s="208"/>
      <c r="N958" s="208"/>
      <c r="O958" s="208"/>
    </row>
    <row r="959" spans="1:15" ht="14.25" customHeight="1" x14ac:dyDescent="0.3">
      <c r="A959" s="208"/>
      <c r="J959" s="208"/>
      <c r="K959" s="208"/>
      <c r="N959" s="208"/>
      <c r="O959" s="208"/>
    </row>
    <row r="960" spans="1:15" ht="14.25" customHeight="1" x14ac:dyDescent="0.3">
      <c r="A960" s="208"/>
      <c r="J960" s="208"/>
      <c r="K960" s="208"/>
      <c r="N960" s="208"/>
      <c r="O960" s="208"/>
    </row>
    <row r="961" spans="1:15" ht="14.25" customHeight="1" x14ac:dyDescent="0.3">
      <c r="A961" s="208"/>
      <c r="J961" s="208"/>
      <c r="K961" s="208"/>
      <c r="N961" s="208"/>
      <c r="O961" s="208"/>
    </row>
    <row r="962" spans="1:15" ht="14.25" customHeight="1" x14ac:dyDescent="0.3">
      <c r="A962" s="208"/>
      <c r="J962" s="208"/>
      <c r="K962" s="208"/>
      <c r="N962" s="208"/>
      <c r="O962" s="208"/>
    </row>
    <row r="963" spans="1:15" ht="14.25" customHeight="1" x14ac:dyDescent="0.3">
      <c r="A963" s="208"/>
      <c r="J963" s="208"/>
      <c r="K963" s="208"/>
      <c r="N963" s="208"/>
      <c r="O963" s="208"/>
    </row>
    <row r="964" spans="1:15" ht="14.25" customHeight="1" x14ac:dyDescent="0.3">
      <c r="A964" s="208"/>
      <c r="J964" s="208"/>
      <c r="K964" s="208"/>
      <c r="N964" s="208"/>
      <c r="O964" s="208"/>
    </row>
    <row r="965" spans="1:15" ht="14.25" customHeight="1" x14ac:dyDescent="0.3">
      <c r="A965" s="208"/>
      <c r="J965" s="208"/>
      <c r="K965" s="208"/>
      <c r="N965" s="208"/>
      <c r="O965" s="208"/>
    </row>
    <row r="966" spans="1:15" ht="14.25" customHeight="1" x14ac:dyDescent="0.3">
      <c r="A966" s="208"/>
      <c r="J966" s="208"/>
      <c r="K966" s="208"/>
      <c r="N966" s="208"/>
      <c r="O966" s="208"/>
    </row>
    <row r="967" spans="1:15" ht="14.25" customHeight="1" x14ac:dyDescent="0.3">
      <c r="A967" s="208"/>
      <c r="J967" s="208"/>
      <c r="K967" s="208"/>
      <c r="N967" s="208"/>
      <c r="O967" s="208"/>
    </row>
    <row r="968" spans="1:15" ht="14.25" customHeight="1" x14ac:dyDescent="0.3">
      <c r="A968" s="208"/>
      <c r="J968" s="208"/>
      <c r="K968" s="208"/>
      <c r="N968" s="208"/>
      <c r="O968" s="208"/>
    </row>
    <row r="969" spans="1:15" ht="14.25" customHeight="1" x14ac:dyDescent="0.3">
      <c r="A969" s="208"/>
      <c r="J969" s="208"/>
      <c r="K969" s="208"/>
      <c r="N969" s="208"/>
      <c r="O969" s="208"/>
    </row>
    <row r="970" spans="1:15" ht="14.25" customHeight="1" x14ac:dyDescent="0.3">
      <c r="A970" s="208"/>
      <c r="J970" s="208"/>
      <c r="K970" s="208"/>
      <c r="N970" s="208"/>
      <c r="O970" s="208"/>
    </row>
    <row r="971" spans="1:15" ht="14.25" customHeight="1" x14ac:dyDescent="0.3">
      <c r="A971" s="208"/>
      <c r="J971" s="208"/>
      <c r="K971" s="208"/>
      <c r="N971" s="208"/>
      <c r="O971" s="208"/>
    </row>
    <row r="972" spans="1:15" ht="14.25" customHeight="1" x14ac:dyDescent="0.3">
      <c r="A972" s="208"/>
      <c r="J972" s="208"/>
      <c r="K972" s="208"/>
      <c r="N972" s="208"/>
      <c r="O972" s="208"/>
    </row>
    <row r="973" spans="1:15" ht="14.25" customHeight="1" x14ac:dyDescent="0.3">
      <c r="A973" s="208"/>
      <c r="J973" s="208"/>
      <c r="K973" s="208"/>
      <c r="N973" s="208"/>
      <c r="O973" s="208"/>
    </row>
    <row r="974" spans="1:15" ht="14.25" customHeight="1" x14ac:dyDescent="0.3">
      <c r="A974" s="208"/>
      <c r="J974" s="208"/>
      <c r="K974" s="208"/>
      <c r="N974" s="208"/>
      <c r="O974" s="208"/>
    </row>
    <row r="975" spans="1:15" ht="14.25" customHeight="1" x14ac:dyDescent="0.3">
      <c r="A975" s="208"/>
      <c r="J975" s="208"/>
      <c r="K975" s="208"/>
      <c r="N975" s="208"/>
      <c r="O975" s="208"/>
    </row>
    <row r="976" spans="1:15" ht="14.25" customHeight="1" x14ac:dyDescent="0.3">
      <c r="A976" s="208"/>
      <c r="J976" s="208"/>
      <c r="K976" s="208"/>
      <c r="N976" s="208"/>
      <c r="O976" s="208"/>
    </row>
    <row r="977" spans="1:15" ht="14.25" customHeight="1" x14ac:dyDescent="0.3">
      <c r="A977" s="208"/>
      <c r="J977" s="208"/>
      <c r="K977" s="208"/>
      <c r="N977" s="208"/>
      <c r="O977" s="208"/>
    </row>
    <row r="978" spans="1:15" ht="14.25" customHeight="1" x14ac:dyDescent="0.3">
      <c r="A978" s="208"/>
      <c r="J978" s="208"/>
      <c r="K978" s="208"/>
      <c r="N978" s="208"/>
      <c r="O978" s="208"/>
    </row>
    <row r="979" spans="1:15" ht="14.25" customHeight="1" x14ac:dyDescent="0.3">
      <c r="A979" s="208"/>
      <c r="J979" s="208"/>
      <c r="K979" s="208"/>
      <c r="N979" s="208"/>
      <c r="O979" s="208"/>
    </row>
    <row r="980" spans="1:15" ht="14.25" customHeight="1" x14ac:dyDescent="0.3">
      <c r="A980" s="208"/>
      <c r="J980" s="208"/>
      <c r="K980" s="208"/>
      <c r="N980" s="208"/>
      <c r="O980" s="208"/>
    </row>
    <row r="981" spans="1:15" ht="14.25" customHeight="1" x14ac:dyDescent="0.3">
      <c r="A981" s="208"/>
      <c r="J981" s="208"/>
      <c r="K981" s="208"/>
      <c r="N981" s="208"/>
      <c r="O981" s="208"/>
    </row>
    <row r="982" spans="1:15" ht="14.25" customHeight="1" x14ac:dyDescent="0.3">
      <c r="A982" s="208"/>
      <c r="J982" s="208"/>
      <c r="K982" s="208"/>
      <c r="N982" s="208"/>
      <c r="O982" s="208"/>
    </row>
    <row r="983" spans="1:15" ht="14.25" customHeight="1" x14ac:dyDescent="0.3">
      <c r="A983" s="208"/>
      <c r="J983" s="208"/>
      <c r="K983" s="208"/>
      <c r="N983" s="208"/>
      <c r="O983" s="208"/>
    </row>
    <row r="984" spans="1:15" ht="14.25" customHeight="1" x14ac:dyDescent="0.3">
      <c r="A984" s="208"/>
      <c r="J984" s="208"/>
      <c r="K984" s="208"/>
      <c r="N984" s="208"/>
      <c r="O984" s="208"/>
    </row>
    <row r="985" spans="1:15" ht="14.25" customHeight="1" x14ac:dyDescent="0.3">
      <c r="A985" s="208"/>
      <c r="J985" s="208"/>
      <c r="K985" s="208"/>
      <c r="N985" s="208"/>
      <c r="O985" s="208"/>
    </row>
    <row r="986" spans="1:15" ht="14.25" customHeight="1" x14ac:dyDescent="0.3">
      <c r="A986" s="208"/>
      <c r="J986" s="208"/>
      <c r="K986" s="208"/>
      <c r="N986" s="208"/>
      <c r="O986" s="208"/>
    </row>
    <row r="987" spans="1:15" ht="14.25" customHeight="1" x14ac:dyDescent="0.3">
      <c r="A987" s="208"/>
      <c r="J987" s="208"/>
      <c r="K987" s="208"/>
      <c r="N987" s="208"/>
      <c r="O987" s="208"/>
    </row>
    <row r="988" spans="1:15" ht="14.25" customHeight="1" x14ac:dyDescent="0.3">
      <c r="A988" s="208"/>
      <c r="J988" s="208"/>
      <c r="K988" s="208"/>
      <c r="N988" s="208"/>
      <c r="O988" s="208"/>
    </row>
    <row r="989" spans="1:15" ht="14.25" customHeight="1" x14ac:dyDescent="0.3">
      <c r="A989" s="208"/>
      <c r="J989" s="208"/>
      <c r="K989" s="208"/>
      <c r="N989" s="208"/>
      <c r="O989" s="208"/>
    </row>
    <row r="990" spans="1:15" ht="14.25" customHeight="1" x14ac:dyDescent="0.3">
      <c r="A990" s="208"/>
      <c r="J990" s="208"/>
      <c r="K990" s="208"/>
      <c r="N990" s="208"/>
      <c r="O990" s="208"/>
    </row>
    <row r="991" spans="1:15" ht="14.25" customHeight="1" x14ac:dyDescent="0.3">
      <c r="A991" s="208"/>
      <c r="J991" s="208"/>
      <c r="K991" s="208"/>
      <c r="N991" s="208"/>
      <c r="O991" s="208"/>
    </row>
    <row r="992" spans="1:15" ht="14.25" customHeight="1" x14ac:dyDescent="0.3">
      <c r="A992" s="208"/>
      <c r="J992" s="208"/>
      <c r="K992" s="208"/>
      <c r="N992" s="208"/>
      <c r="O992" s="208"/>
    </row>
    <row r="993" spans="1:15" ht="14.25" customHeight="1" x14ac:dyDescent="0.3">
      <c r="A993" s="208"/>
      <c r="J993" s="208"/>
      <c r="K993" s="208"/>
      <c r="N993" s="208"/>
      <c r="O993" s="208"/>
    </row>
    <row r="994" spans="1:15" ht="14.25" customHeight="1" x14ac:dyDescent="0.3">
      <c r="A994" s="208"/>
      <c r="J994" s="208"/>
      <c r="K994" s="208"/>
      <c r="N994" s="208"/>
      <c r="O994" s="208"/>
    </row>
    <row r="995" spans="1:15" ht="14.25" customHeight="1" x14ac:dyDescent="0.3">
      <c r="A995" s="208"/>
      <c r="J995" s="208"/>
      <c r="K995" s="208"/>
      <c r="N995" s="208"/>
      <c r="O995" s="208"/>
    </row>
    <row r="996" spans="1:15" ht="14.25" customHeight="1" x14ac:dyDescent="0.3">
      <c r="A996" s="208"/>
      <c r="J996" s="208"/>
      <c r="K996" s="208"/>
      <c r="N996" s="208"/>
      <c r="O996" s="208"/>
    </row>
    <row r="997" spans="1:15" ht="14.25" customHeight="1" x14ac:dyDescent="0.3">
      <c r="A997" s="208"/>
      <c r="J997" s="208"/>
      <c r="K997" s="208"/>
      <c r="N997" s="208"/>
      <c r="O997" s="208"/>
    </row>
    <row r="998" spans="1:15" ht="14.25" customHeight="1" x14ac:dyDescent="0.3">
      <c r="A998" s="208"/>
      <c r="J998" s="208"/>
      <c r="K998" s="208"/>
      <c r="N998" s="208"/>
      <c r="O998" s="208"/>
    </row>
    <row r="999" spans="1:15" ht="14.25" customHeight="1" x14ac:dyDescent="0.3">
      <c r="A999" s="208"/>
      <c r="J999" s="208"/>
      <c r="K999" s="208"/>
      <c r="N999" s="208"/>
      <c r="O999" s="208"/>
    </row>
    <row r="1000" spans="1:15" ht="14.25" customHeight="1" x14ac:dyDescent="0.3">
      <c r="A1000" s="208"/>
      <c r="J1000" s="208"/>
      <c r="K1000" s="208"/>
      <c r="N1000" s="208"/>
      <c r="O1000" s="208"/>
    </row>
    <row r="1001" spans="1:15" ht="14.25" customHeight="1" x14ac:dyDescent="0.3">
      <c r="A1001" s="208"/>
      <c r="J1001" s="208"/>
      <c r="K1001" s="208"/>
      <c r="N1001" s="208"/>
      <c r="O1001" s="208"/>
    </row>
    <row r="1002" spans="1:15" ht="14.25" customHeight="1" x14ac:dyDescent="0.3">
      <c r="A1002" s="208"/>
      <c r="J1002" s="208"/>
      <c r="K1002" s="208"/>
      <c r="N1002" s="208"/>
      <c r="O1002" s="208"/>
    </row>
    <row r="1003" spans="1:15" ht="14.25" customHeight="1" x14ac:dyDescent="0.3">
      <c r="A1003" s="208"/>
      <c r="J1003" s="208"/>
      <c r="K1003" s="208"/>
      <c r="N1003" s="208"/>
      <c r="O1003" s="208"/>
    </row>
    <row r="1004" spans="1:15" ht="14.25" customHeight="1" x14ac:dyDescent="0.3">
      <c r="A1004" s="208"/>
      <c r="J1004" s="208"/>
      <c r="K1004" s="208"/>
      <c r="N1004" s="208"/>
      <c r="O1004" s="208"/>
    </row>
    <row r="1005" spans="1:15" ht="14.25" customHeight="1" x14ac:dyDescent="0.3">
      <c r="A1005" s="208"/>
      <c r="J1005" s="208"/>
      <c r="K1005" s="208"/>
      <c r="N1005" s="208"/>
      <c r="O1005" s="208"/>
    </row>
    <row r="1006" spans="1:15" ht="14.25" customHeight="1" x14ac:dyDescent="0.3">
      <c r="A1006" s="208"/>
      <c r="J1006" s="208"/>
      <c r="K1006" s="208"/>
      <c r="N1006" s="208"/>
      <c r="O1006" s="208"/>
    </row>
    <row r="1007" spans="1:15" ht="14.25" customHeight="1" x14ac:dyDescent="0.3">
      <c r="A1007" s="208"/>
      <c r="J1007" s="208"/>
      <c r="K1007" s="208"/>
      <c r="N1007" s="208"/>
      <c r="O1007" s="208"/>
    </row>
    <row r="1008" spans="1:15" ht="14.25" customHeight="1" x14ac:dyDescent="0.3">
      <c r="A1008" s="208"/>
      <c r="J1008" s="208"/>
      <c r="K1008" s="208"/>
      <c r="N1008" s="208"/>
      <c r="O1008" s="208"/>
    </row>
    <row r="1009" spans="1:15" ht="14.25" customHeight="1" x14ac:dyDescent="0.3">
      <c r="A1009" s="208"/>
      <c r="J1009" s="208"/>
      <c r="K1009" s="208"/>
      <c r="N1009" s="208"/>
      <c r="O1009" s="208"/>
    </row>
    <row r="1010" spans="1:15" ht="14.25" customHeight="1" x14ac:dyDescent="0.3">
      <c r="A1010" s="208"/>
      <c r="J1010" s="208"/>
      <c r="K1010" s="208"/>
      <c r="N1010" s="208"/>
      <c r="O1010" s="208"/>
    </row>
    <row r="1011" spans="1:15" ht="14.25" customHeight="1" x14ac:dyDescent="0.3">
      <c r="A1011" s="208"/>
      <c r="J1011" s="208"/>
      <c r="K1011" s="208"/>
      <c r="N1011" s="208"/>
      <c r="O1011" s="208"/>
    </row>
    <row r="1012" spans="1:15" ht="14.25" customHeight="1" x14ac:dyDescent="0.3">
      <c r="A1012" s="208"/>
      <c r="J1012" s="208"/>
      <c r="K1012" s="208"/>
      <c r="N1012" s="208"/>
      <c r="O1012" s="208"/>
    </row>
    <row r="1013" spans="1:15" ht="14.25" customHeight="1" x14ac:dyDescent="0.3">
      <c r="A1013" s="208"/>
      <c r="J1013" s="208"/>
      <c r="K1013" s="208"/>
      <c r="N1013" s="208"/>
      <c r="O1013" s="208"/>
    </row>
    <row r="1014" spans="1:15" ht="14.25" customHeight="1" x14ac:dyDescent="0.3">
      <c r="A1014" s="208"/>
      <c r="J1014" s="208"/>
      <c r="K1014" s="208"/>
      <c r="N1014" s="208"/>
      <c r="O1014" s="208"/>
    </row>
    <row r="1015" spans="1:15" ht="14.25" customHeight="1" x14ac:dyDescent="0.3">
      <c r="A1015" s="208"/>
      <c r="J1015" s="208"/>
      <c r="K1015" s="208"/>
      <c r="N1015" s="208"/>
      <c r="O1015" s="208"/>
    </row>
    <row r="1016" spans="1:15" ht="14.25" customHeight="1" x14ac:dyDescent="0.3">
      <c r="A1016" s="208"/>
      <c r="J1016" s="208"/>
      <c r="K1016" s="208"/>
      <c r="N1016" s="208"/>
      <c r="O1016" s="208"/>
    </row>
    <row r="1017" spans="1:15" ht="14.25" customHeight="1" x14ac:dyDescent="0.3">
      <c r="A1017" s="208"/>
      <c r="J1017" s="208"/>
      <c r="K1017" s="208"/>
      <c r="N1017" s="208"/>
      <c r="O1017" s="208"/>
    </row>
    <row r="1018" spans="1:15" ht="14.25" customHeight="1" x14ac:dyDescent="0.3">
      <c r="A1018" s="208"/>
      <c r="J1018" s="208"/>
      <c r="K1018" s="208"/>
      <c r="N1018" s="208"/>
      <c r="O1018" s="208"/>
    </row>
    <row r="1019" spans="1:15" ht="14.25" customHeight="1" x14ac:dyDescent="0.3">
      <c r="A1019" s="208"/>
      <c r="J1019" s="208"/>
      <c r="K1019" s="208"/>
      <c r="N1019" s="208"/>
      <c r="O1019" s="208"/>
    </row>
    <row r="1020" spans="1:15" ht="14.25" customHeight="1" x14ac:dyDescent="0.3">
      <c r="A1020" s="208"/>
      <c r="J1020" s="208"/>
      <c r="K1020" s="208"/>
      <c r="N1020" s="208"/>
      <c r="O1020" s="208"/>
    </row>
    <row r="1021" spans="1:15" ht="14.25" customHeight="1" x14ac:dyDescent="0.3">
      <c r="A1021" s="208"/>
      <c r="J1021" s="208"/>
      <c r="K1021" s="208"/>
      <c r="N1021" s="208"/>
      <c r="O1021" s="208"/>
    </row>
    <row r="1022" spans="1:15" ht="14.25" customHeight="1" x14ac:dyDescent="0.3">
      <c r="A1022" s="208"/>
      <c r="J1022" s="208"/>
      <c r="K1022" s="208"/>
      <c r="N1022" s="208"/>
      <c r="O1022" s="208"/>
    </row>
    <row r="1023" spans="1:15" ht="14.25" customHeight="1" x14ac:dyDescent="0.3">
      <c r="A1023" s="208"/>
      <c r="J1023" s="208"/>
      <c r="K1023" s="208"/>
      <c r="N1023" s="208"/>
      <c r="O1023" s="208"/>
    </row>
    <row r="1024" spans="1:15" ht="14.25" customHeight="1" x14ac:dyDescent="0.3">
      <c r="A1024" s="208"/>
      <c r="J1024" s="208"/>
      <c r="K1024" s="208"/>
      <c r="N1024" s="208"/>
      <c r="O1024" s="208"/>
    </row>
    <row r="1025" spans="1:15" ht="14.25" customHeight="1" x14ac:dyDescent="0.3">
      <c r="A1025" s="208"/>
      <c r="J1025" s="208"/>
      <c r="K1025" s="208"/>
      <c r="N1025" s="208"/>
      <c r="O1025" s="208"/>
    </row>
    <row r="1026" spans="1:15" ht="14.25" customHeight="1" x14ac:dyDescent="0.3">
      <c r="A1026" s="208"/>
      <c r="J1026" s="208"/>
      <c r="K1026" s="208"/>
      <c r="N1026" s="208"/>
      <c r="O1026" s="208"/>
    </row>
    <row r="1027" spans="1:15" ht="14.25" customHeight="1" x14ac:dyDescent="0.3">
      <c r="A1027" s="208"/>
      <c r="J1027" s="208"/>
      <c r="K1027" s="208"/>
      <c r="N1027" s="208"/>
      <c r="O1027" s="208"/>
    </row>
    <row r="1028" spans="1:15" ht="14.25" customHeight="1" x14ac:dyDescent="0.3">
      <c r="A1028" s="208"/>
      <c r="J1028" s="208"/>
      <c r="K1028" s="208"/>
      <c r="N1028" s="208"/>
      <c r="O1028" s="208"/>
    </row>
    <row r="1029" spans="1:15" ht="14.25" customHeight="1" x14ac:dyDescent="0.3">
      <c r="A1029" s="208"/>
      <c r="J1029" s="208"/>
      <c r="K1029" s="208"/>
      <c r="N1029" s="208"/>
      <c r="O1029" s="208"/>
    </row>
    <row r="1030" spans="1:15" ht="14.25" customHeight="1" x14ac:dyDescent="0.3">
      <c r="A1030" s="208"/>
      <c r="J1030" s="208"/>
      <c r="K1030" s="208"/>
      <c r="N1030" s="208"/>
      <c r="O1030" s="208"/>
    </row>
    <row r="1031" spans="1:15" ht="14.25" customHeight="1" x14ac:dyDescent="0.3">
      <c r="A1031" s="208"/>
      <c r="J1031" s="208"/>
      <c r="K1031" s="208"/>
      <c r="N1031" s="208"/>
      <c r="O1031" s="208"/>
    </row>
  </sheetData>
  <mergeCells count="6">
    <mergeCell ref="A5:O5"/>
    <mergeCell ref="A7:O7"/>
    <mergeCell ref="B9:I9"/>
    <mergeCell ref="L9:M9"/>
    <mergeCell ref="L21:M21"/>
    <mergeCell ref="L13:M13"/>
  </mergeCells>
  <phoneticPr fontId="43" type="noConversion"/>
  <pageMargins left="0.511811024" right="0.511811024" top="0.78740157499999996" bottom="0.78740157499999996" header="0" footer="0"/>
  <pageSetup paperSize="9" orientation="portrait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L44"/>
  <sheetViews>
    <sheetView showGridLines="0" topLeftCell="A10" zoomScale="87" zoomScaleNormal="87" zoomScaleSheetLayoutView="95" workbookViewId="0">
      <selection activeCell="G26" sqref="G26"/>
    </sheetView>
  </sheetViews>
  <sheetFormatPr defaultColWidth="9.109375" defaultRowHeight="13.2" x14ac:dyDescent="0.3"/>
  <cols>
    <col min="1" max="1" width="45" style="1" bestFit="1" customWidth="1"/>
    <col min="2" max="2" width="14" style="114" customWidth="1"/>
    <col min="3" max="3" width="7.5546875" style="113" customWidth="1"/>
    <col min="4" max="4" width="10.6640625" style="112" customWidth="1"/>
    <col min="5" max="5" width="15.88671875" style="1" customWidth="1"/>
    <col min="6" max="6" width="15.109375" style="1" customWidth="1"/>
    <col min="7" max="7" width="17.6640625" style="1" customWidth="1"/>
    <col min="8" max="8" width="13.109375" style="1" bestFit="1" customWidth="1"/>
    <col min="9" max="9" width="12.109375" style="1" bestFit="1" customWidth="1"/>
    <col min="10" max="10" width="12.88671875" style="1" bestFit="1" customWidth="1"/>
    <col min="11" max="11" width="12" style="1" bestFit="1" customWidth="1"/>
    <col min="12" max="16384" width="9.109375" style="1"/>
  </cols>
  <sheetData>
    <row r="1" spans="1:10" x14ac:dyDescent="0.3">
      <c r="B1" s="2"/>
      <c r="C1" s="1"/>
      <c r="D1" s="1"/>
      <c r="G1" s="161"/>
      <c r="H1" s="161"/>
      <c r="I1" s="2"/>
    </row>
    <row r="2" spans="1:10" ht="12.75" customHeight="1" x14ac:dyDescent="0.3">
      <c r="A2" s="332" t="s">
        <v>187</v>
      </c>
      <c r="B2" s="2"/>
      <c r="C2" s="1"/>
      <c r="D2" s="1"/>
      <c r="G2" s="166"/>
      <c r="H2" s="166"/>
      <c r="I2" s="2"/>
    </row>
    <row r="3" spans="1:10" ht="12.75" customHeight="1" x14ac:dyDescent="0.3">
      <c r="A3" s="333"/>
      <c r="B3" s="2"/>
      <c r="C3" s="1"/>
      <c r="D3" s="1"/>
      <c r="G3" s="166"/>
      <c r="H3" s="166"/>
      <c r="I3" s="2"/>
    </row>
    <row r="4" spans="1:10" ht="12.75" customHeight="1" x14ac:dyDescent="0.3">
      <c r="A4" s="333"/>
      <c r="B4" s="2"/>
      <c r="C4" s="1"/>
      <c r="D4" s="1"/>
      <c r="G4" s="166"/>
      <c r="H4" s="166"/>
      <c r="I4" s="2"/>
    </row>
    <row r="5" spans="1:10" ht="13.8" thickBot="1" x14ac:dyDescent="0.35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3">
      <c r="A6" s="162"/>
      <c r="B6" s="2"/>
      <c r="C6" s="1"/>
      <c r="D6" s="1"/>
      <c r="G6" s="161"/>
      <c r="H6" s="161"/>
      <c r="I6" s="2"/>
    </row>
    <row r="7" spans="1:10" x14ac:dyDescent="0.3">
      <c r="A7" s="160" t="s">
        <v>186</v>
      </c>
      <c r="B7" s="159"/>
      <c r="C7" s="158"/>
      <c r="D7" s="158"/>
      <c r="E7" s="158"/>
      <c r="F7" s="158"/>
      <c r="G7" s="158"/>
      <c r="H7" s="157"/>
      <c r="I7" s="2"/>
    </row>
    <row r="8" spans="1:10" x14ac:dyDescent="0.3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0" ht="15" customHeight="1" x14ac:dyDescent="0.3">
      <c r="A9" s="152" t="s">
        <v>185</v>
      </c>
      <c r="B9" s="151">
        <v>45471</v>
      </c>
      <c r="C9" s="150"/>
      <c r="D9" s="150"/>
      <c r="E9" s="150"/>
      <c r="F9" s="150"/>
      <c r="G9" s="150"/>
      <c r="H9" s="149"/>
    </row>
    <row r="10" spans="1:10" x14ac:dyDescent="0.3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0" x14ac:dyDescent="0.3">
      <c r="A12" s="144" t="s">
        <v>194</v>
      </c>
      <c r="B12" s="143"/>
      <c r="C12" s="142"/>
      <c r="D12" s="141"/>
      <c r="E12" s="140"/>
      <c r="F12" s="140"/>
      <c r="G12" s="140"/>
      <c r="H12" s="139"/>
    </row>
    <row r="13" spans="1:10" ht="15.9" customHeight="1" x14ac:dyDescent="0.3">
      <c r="A13" s="138"/>
      <c r="B13" s="137"/>
      <c r="C13" s="136"/>
      <c r="D13" s="135"/>
      <c r="E13" s="135"/>
      <c r="F13" s="135"/>
      <c r="H13" s="131"/>
      <c r="J13" s="115"/>
    </row>
    <row r="14" spans="1:10" ht="15.9" customHeight="1" x14ac:dyDescent="0.3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131"/>
      <c r="J14" s="115"/>
    </row>
    <row r="15" spans="1:10" ht="15.9" customHeight="1" x14ac:dyDescent="0.3">
      <c r="A15" s="172" t="s">
        <v>483</v>
      </c>
      <c r="B15" s="124">
        <f>'PISO E TETO'!M23</f>
        <v>2485.44</v>
      </c>
      <c r="C15" s="129" t="s">
        <v>2</v>
      </c>
      <c r="D15" s="128">
        <v>50</v>
      </c>
      <c r="E15" s="130" t="s">
        <v>170</v>
      </c>
      <c r="F15" s="126" t="s">
        <v>169</v>
      </c>
      <c r="G15" s="125">
        <f>D15*B15*1.1</f>
        <v>136699.20000000001</v>
      </c>
      <c r="H15" s="131">
        <f>G15/B15</f>
        <v>55</v>
      </c>
      <c r="I15" s="115">
        <f>172.7*B15</f>
        <v>429235.48799999995</v>
      </c>
    </row>
    <row r="16" spans="1:10" ht="15.9" customHeight="1" x14ac:dyDescent="0.3">
      <c r="A16" s="172" t="s">
        <v>327</v>
      </c>
      <c r="B16" s="124">
        <f>'PISO E TETO'!M25</f>
        <v>500.98399999999987</v>
      </c>
      <c r="C16" s="129" t="s">
        <v>2</v>
      </c>
      <c r="D16" s="128">
        <f>25-D20</f>
        <v>5</v>
      </c>
      <c r="E16" s="130" t="s">
        <v>170</v>
      </c>
      <c r="F16" s="126" t="s">
        <v>169</v>
      </c>
      <c r="G16" s="125">
        <f>D16*B16*1.1</f>
        <v>2755.4119999999994</v>
      </c>
      <c r="H16" s="131"/>
    </row>
    <row r="17" spans="1:11" ht="15.9" customHeight="1" x14ac:dyDescent="0.3">
      <c r="A17" s="172" t="s">
        <v>348</v>
      </c>
      <c r="B17" s="124">
        <f>'PISO E TETO'!M24</f>
        <v>193.99199999999999</v>
      </c>
      <c r="C17" s="129" t="s">
        <v>2</v>
      </c>
      <c r="D17" s="128">
        <f>28-D20</f>
        <v>8</v>
      </c>
      <c r="E17" s="130" t="s">
        <v>170</v>
      </c>
      <c r="F17" s="126" t="s">
        <v>169</v>
      </c>
      <c r="G17" s="125">
        <f>D17*B17*1.1</f>
        <v>1707.1296</v>
      </c>
      <c r="H17" s="131"/>
    </row>
    <row r="18" spans="1:11" ht="15.9" customHeight="1" x14ac:dyDescent="0.3">
      <c r="A18" s="170" t="s">
        <v>193</v>
      </c>
      <c r="B18" s="124">
        <f>'PISO E TETO'!M11</f>
        <v>9257.5640000000021</v>
      </c>
      <c r="C18" s="129" t="s">
        <v>2</v>
      </c>
      <c r="D18" s="128">
        <f>B18/DADOS_INICIAIS!E9</f>
        <v>0.70411613215310886</v>
      </c>
      <c r="E18" s="130" t="s">
        <v>189</v>
      </c>
      <c r="F18" s="126" t="s">
        <v>169</v>
      </c>
      <c r="G18" s="125">
        <f>+B18*65*1.1-G21</f>
        <v>254583.01000000013</v>
      </c>
      <c r="H18" s="131"/>
    </row>
    <row r="19" spans="1:11" ht="15.9" customHeight="1" x14ac:dyDescent="0.3">
      <c r="A19" s="170" t="s">
        <v>192</v>
      </c>
      <c r="B19" s="124">
        <f>'PISO E TETO'!M12</f>
        <v>7235.9139999999989</v>
      </c>
      <c r="C19" s="129" t="s">
        <v>2</v>
      </c>
      <c r="D19" s="128">
        <f>B19/DADOS_INICIAIS!E9</f>
        <v>0.55035253099762838</v>
      </c>
      <c r="E19" s="130" t="s">
        <v>189</v>
      </c>
      <c r="F19" s="126" t="s">
        <v>169</v>
      </c>
      <c r="G19" s="125">
        <f>+B19*25*1.1</f>
        <v>198987.63499999998</v>
      </c>
      <c r="H19" s="131"/>
      <c r="J19" s="1">
        <f>G19/B19</f>
        <v>27.5</v>
      </c>
      <c r="K19" s="1">
        <f>G19/DADOS_INICIAIS!E9</f>
        <v>15.134694602434781</v>
      </c>
    </row>
    <row r="20" spans="1:11" ht="15.9" customHeight="1" x14ac:dyDescent="0.3">
      <c r="A20" s="340" t="s">
        <v>839</v>
      </c>
      <c r="B20" s="341">
        <f>B16+B17</f>
        <v>694.97599999999989</v>
      </c>
      <c r="C20" s="342"/>
      <c r="D20" s="343">
        <v>20</v>
      </c>
      <c r="E20" s="344"/>
      <c r="F20" s="345"/>
      <c r="G20" s="346">
        <f t="shared" ref="G20:G21" si="0">D20*B20*1.1</f>
        <v>15289.471999999998</v>
      </c>
      <c r="H20" s="131"/>
    </row>
    <row r="21" spans="1:11" ht="15.9" customHeight="1" x14ac:dyDescent="0.3">
      <c r="A21" s="340" t="s">
        <v>838</v>
      </c>
      <c r="B21" s="341">
        <f>B18</f>
        <v>9257.5640000000021</v>
      </c>
      <c r="C21" s="342"/>
      <c r="D21" s="343">
        <v>40</v>
      </c>
      <c r="E21" s="344"/>
      <c r="F21" s="345"/>
      <c r="G21" s="346">
        <f t="shared" si="0"/>
        <v>407332.81600000011</v>
      </c>
      <c r="H21" s="131"/>
    </row>
    <row r="22" spans="1:11" ht="27" customHeight="1" x14ac:dyDescent="0.3">
      <c r="A22" s="171" t="s">
        <v>191</v>
      </c>
      <c r="B22" s="245">
        <f>ALVENARIA!D14*2-'Rev. Fachada'!B15</f>
        <v>35425.930000000008</v>
      </c>
      <c r="C22" s="169" t="s">
        <v>2</v>
      </c>
      <c r="D22" s="244">
        <v>2.2000000000000002</v>
      </c>
      <c r="E22" s="127" t="s">
        <v>189</v>
      </c>
      <c r="F22" s="168" t="s">
        <v>169</v>
      </c>
      <c r="G22" s="125">
        <f>+B22*5*1.1</f>
        <v>194842.61500000005</v>
      </c>
      <c r="H22" s="123"/>
    </row>
    <row r="23" spans="1:11" ht="27" customHeight="1" x14ac:dyDescent="0.3">
      <c r="A23" s="170" t="s">
        <v>190</v>
      </c>
      <c r="B23" s="245">
        <f>B22</f>
        <v>35425.930000000008</v>
      </c>
      <c r="C23" s="169" t="s">
        <v>2</v>
      </c>
      <c r="D23" s="244">
        <v>2.2000000000000002</v>
      </c>
      <c r="E23" s="127" t="s">
        <v>189</v>
      </c>
      <c r="F23" s="168" t="s">
        <v>169</v>
      </c>
      <c r="G23" s="125">
        <f>17*B23*1.1</f>
        <v>662464.89100000029</v>
      </c>
      <c r="H23" s="123"/>
    </row>
    <row r="24" spans="1:11" ht="27" customHeight="1" x14ac:dyDescent="0.3">
      <c r="A24" s="170" t="s">
        <v>836</v>
      </c>
      <c r="B24" s="245">
        <f>B23</f>
        <v>35425.930000000008</v>
      </c>
      <c r="C24" s="169" t="s">
        <v>2</v>
      </c>
      <c r="D24" s="244">
        <v>2.2000000000000002</v>
      </c>
      <c r="E24" s="127" t="s">
        <v>189</v>
      </c>
      <c r="F24" s="168" t="s">
        <v>169</v>
      </c>
      <c r="G24" s="125">
        <f>33*B24*1.1</f>
        <v>1285961.2590000003</v>
      </c>
      <c r="H24" s="123"/>
    </row>
    <row r="25" spans="1:11" ht="15.9" customHeight="1" x14ac:dyDescent="0.3">
      <c r="A25" s="328" t="s">
        <v>17</v>
      </c>
      <c r="B25" s="329"/>
      <c r="C25" s="329"/>
      <c r="D25" s="329"/>
      <c r="E25" s="329"/>
      <c r="F25" s="329"/>
      <c r="G25" s="122">
        <f>SUM(G15:G24)</f>
        <v>3160623.4396000011</v>
      </c>
      <c r="H25" s="121"/>
    </row>
    <row r="26" spans="1:11" ht="15.9" customHeight="1" x14ac:dyDescent="0.3">
      <c r="A26" s="330"/>
      <c r="B26" s="331"/>
      <c r="C26" s="331"/>
      <c r="D26" s="331"/>
      <c r="E26" s="331"/>
      <c r="F26" s="331"/>
      <c r="G26" s="167"/>
      <c r="H26" s="118"/>
    </row>
    <row r="28" spans="1:11" x14ac:dyDescent="0.3">
      <c r="A28" s="334" t="s">
        <v>188</v>
      </c>
      <c r="B28" s="334"/>
      <c r="C28" s="334"/>
      <c r="D28" s="334"/>
      <c r="E28" s="334"/>
      <c r="F28" s="334"/>
      <c r="G28" s="117">
        <f>G25</f>
        <v>3160623.4396000011</v>
      </c>
      <c r="H28" s="116">
        <f>G28/DADOS_INICIAIS!E9</f>
        <v>240.39217568289104</v>
      </c>
    </row>
    <row r="30" spans="1:11" x14ac:dyDescent="0.3">
      <c r="B30" s="114">
        <f>2*ALVENARIA!D14-'Rev. Fachada'!B15</f>
        <v>35425.930000000008</v>
      </c>
      <c r="H30" s="115">
        <f>H28/1.1</f>
        <v>218.53834152990092</v>
      </c>
    </row>
    <row r="32" spans="1:11" x14ac:dyDescent="0.3">
      <c r="A32" s="144" t="s">
        <v>194</v>
      </c>
      <c r="B32" s="143"/>
      <c r="C32" s="142"/>
      <c r="D32" s="141"/>
      <c r="E32" s="140"/>
      <c r="F32" s="140"/>
      <c r="G32" s="140"/>
      <c r="H32" s="139"/>
      <c r="K32" s="1">
        <f>17+33</f>
        <v>50</v>
      </c>
    </row>
    <row r="33" spans="1:12" x14ac:dyDescent="0.3">
      <c r="A33" s="138"/>
      <c r="B33" s="137"/>
      <c r="C33" s="136"/>
      <c r="D33" s="135"/>
      <c r="E33" s="135"/>
      <c r="F33" s="135"/>
      <c r="H33" s="131"/>
    </row>
    <row r="34" spans="1:12" x14ac:dyDescent="0.3">
      <c r="A34" s="134" t="s">
        <v>14</v>
      </c>
      <c r="B34" s="324" t="s">
        <v>18</v>
      </c>
      <c r="C34" s="325"/>
      <c r="D34" s="326" t="s">
        <v>5</v>
      </c>
      <c r="E34" s="327"/>
      <c r="F34" s="133" t="s">
        <v>182</v>
      </c>
      <c r="G34" s="132" t="s">
        <v>16</v>
      </c>
      <c r="H34" s="131"/>
    </row>
    <row r="35" spans="1:12" x14ac:dyDescent="0.3">
      <c r="A35" s="172" t="s">
        <v>483</v>
      </c>
      <c r="B35" s="124">
        <v>2485.44</v>
      </c>
      <c r="C35" s="129" t="s">
        <v>2</v>
      </c>
      <c r="D35" s="128">
        <f>0.1*610+16+80</f>
        <v>157</v>
      </c>
      <c r="E35" s="130" t="s">
        <v>170</v>
      </c>
      <c r="F35" s="126" t="s">
        <v>169</v>
      </c>
      <c r="G35" s="125">
        <f>D35*B35*1.1</f>
        <v>429235.48800000007</v>
      </c>
      <c r="H35" s="131">
        <f>G35/B35</f>
        <v>172.70000000000002</v>
      </c>
    </row>
    <row r="36" spans="1:12" x14ac:dyDescent="0.3">
      <c r="A36" s="172" t="s">
        <v>327</v>
      </c>
      <c r="B36" s="124">
        <v>500.98399999999987</v>
      </c>
      <c r="C36" s="129" t="s">
        <v>2</v>
      </c>
      <c r="D36" s="128">
        <f>25</f>
        <v>25</v>
      </c>
      <c r="E36" s="130" t="s">
        <v>170</v>
      </c>
      <c r="F36" s="126" t="s">
        <v>169</v>
      </c>
      <c r="G36" s="125">
        <f>D36*B36*1.1</f>
        <v>13777.059999999998</v>
      </c>
      <c r="H36" s="131"/>
    </row>
    <row r="37" spans="1:12" x14ac:dyDescent="0.3">
      <c r="A37" s="172" t="s">
        <v>348</v>
      </c>
      <c r="B37" s="124">
        <v>193.99199999999999</v>
      </c>
      <c r="C37" s="129" t="s">
        <v>2</v>
      </c>
      <c r="D37" s="128">
        <f>28</f>
        <v>28</v>
      </c>
      <c r="E37" s="130" t="s">
        <v>170</v>
      </c>
      <c r="F37" s="126" t="s">
        <v>169</v>
      </c>
      <c r="G37" s="125">
        <f>D37*B37*1.1</f>
        <v>5974.9536000000007</v>
      </c>
      <c r="H37" s="131"/>
    </row>
    <row r="38" spans="1:12" x14ac:dyDescent="0.3">
      <c r="A38" s="170" t="s">
        <v>193</v>
      </c>
      <c r="B38" s="124">
        <v>9257.5640000000021</v>
      </c>
      <c r="C38" s="129" t="s">
        <v>2</v>
      </c>
      <c r="D38" s="128">
        <f>B38/DADOS_INICIAIS!E26</f>
        <v>58.607014434033943</v>
      </c>
      <c r="E38" s="130" t="s">
        <v>189</v>
      </c>
      <c r="F38" s="126" t="s">
        <v>169</v>
      </c>
      <c r="G38" s="125">
        <f>+B38*65*1.1</f>
        <v>661915.82600000023</v>
      </c>
      <c r="H38" s="131"/>
    </row>
    <row r="39" spans="1:12" x14ac:dyDescent="0.3">
      <c r="A39" s="170" t="s">
        <v>192</v>
      </c>
      <c r="B39" s="124">
        <v>7235.9139999999989</v>
      </c>
      <c r="C39" s="129" t="s">
        <v>2</v>
      </c>
      <c r="D39" s="128">
        <f>B39/DADOS_INICIAIS!E26</f>
        <v>45.808521144593556</v>
      </c>
      <c r="E39" s="130" t="s">
        <v>189</v>
      </c>
      <c r="F39" s="126" t="s">
        <v>169</v>
      </c>
      <c r="G39" s="125">
        <f>+B39*25*1.1</f>
        <v>198987.63499999998</v>
      </c>
      <c r="H39" s="131"/>
    </row>
    <row r="40" spans="1:12" x14ac:dyDescent="0.3">
      <c r="A40" s="171" t="s">
        <v>191</v>
      </c>
      <c r="B40" s="245">
        <v>35425.930000000008</v>
      </c>
      <c r="C40" s="169" t="s">
        <v>2</v>
      </c>
      <c r="D40" s="244">
        <v>2.2000000000000002</v>
      </c>
      <c r="E40" s="127" t="s">
        <v>189</v>
      </c>
      <c r="F40" s="168" t="s">
        <v>169</v>
      </c>
      <c r="G40" s="125"/>
      <c r="H40" s="123"/>
    </row>
    <row r="41" spans="1:12" x14ac:dyDescent="0.3">
      <c r="A41" s="170" t="s">
        <v>190</v>
      </c>
      <c r="B41" s="245">
        <v>35425.930000000008</v>
      </c>
      <c r="C41" s="169" t="s">
        <v>2</v>
      </c>
      <c r="D41" s="244">
        <v>2.2000000000000002</v>
      </c>
      <c r="E41" s="127" t="s">
        <v>189</v>
      </c>
      <c r="F41" s="168" t="s">
        <v>169</v>
      </c>
      <c r="G41" s="125">
        <f>(12.5)*B41*1.1</f>
        <v>487106.53750000015</v>
      </c>
      <c r="H41" s="123"/>
    </row>
    <row r="42" spans="1:12" x14ac:dyDescent="0.3">
      <c r="A42" s="170" t="s">
        <v>837</v>
      </c>
      <c r="B42" s="245">
        <v>35425.930000000008</v>
      </c>
      <c r="C42" s="169" t="s">
        <v>2</v>
      </c>
      <c r="D42" s="244">
        <v>2.2000000000000002</v>
      </c>
      <c r="E42" s="127" t="s">
        <v>189</v>
      </c>
      <c r="F42" s="168" t="s">
        <v>169</v>
      </c>
      <c r="G42" s="125">
        <f>20*B42*1.1</f>
        <v>779370.4600000002</v>
      </c>
      <c r="H42" s="123"/>
      <c r="L42" s="1">
        <f>52.21-33</f>
        <v>19.21</v>
      </c>
    </row>
    <row r="43" spans="1:12" x14ac:dyDescent="0.3">
      <c r="A43" s="328" t="s">
        <v>17</v>
      </c>
      <c r="B43" s="329"/>
      <c r="C43" s="329"/>
      <c r="D43" s="329"/>
      <c r="E43" s="329"/>
      <c r="F43" s="329"/>
      <c r="G43" s="122">
        <f>SUM(G35:G41)</f>
        <v>1796997.5001000005</v>
      </c>
      <c r="H43" s="121"/>
    </row>
    <row r="44" spans="1:12" x14ac:dyDescent="0.3">
      <c r="A44" s="330"/>
      <c r="B44" s="331"/>
      <c r="C44" s="331"/>
      <c r="D44" s="331"/>
      <c r="E44" s="331"/>
      <c r="F44" s="331"/>
      <c r="G44" s="167"/>
      <c r="H44" s="118"/>
    </row>
  </sheetData>
  <mergeCells count="10">
    <mergeCell ref="B34:C34"/>
    <mergeCell ref="D34:E34"/>
    <mergeCell ref="A43:F43"/>
    <mergeCell ref="A44:F44"/>
    <mergeCell ref="A2:A4"/>
    <mergeCell ref="A28:F28"/>
    <mergeCell ref="A26:F26"/>
    <mergeCell ref="A25:F25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43"/>
  <sheetViews>
    <sheetView showGridLines="0" topLeftCell="A5" zoomScale="80" zoomScaleNormal="80" zoomScaleSheetLayoutView="95" workbookViewId="0">
      <selection activeCell="G12" sqref="G12:G13"/>
    </sheetView>
  </sheetViews>
  <sheetFormatPr defaultColWidth="9.109375" defaultRowHeight="14.4" x14ac:dyDescent="0.3"/>
  <cols>
    <col min="1" max="1" width="50.109375" style="55" customWidth="1"/>
    <col min="2" max="2" width="21.6640625" style="55" customWidth="1"/>
    <col min="3" max="3" width="26.5546875" style="55" customWidth="1"/>
    <col min="4" max="4" width="16.5546875" style="81" customWidth="1"/>
    <col min="5" max="5" width="19.5546875" style="82" customWidth="1"/>
    <col min="6" max="6" width="20.88671875" style="55" customWidth="1"/>
    <col min="7" max="7" width="23.5546875" style="55" customWidth="1"/>
    <col min="8" max="8" width="58.33203125" style="55" customWidth="1"/>
    <col min="9" max="9" width="11.33203125" style="55" customWidth="1"/>
    <col min="10" max="10" width="9.109375" style="55"/>
    <col min="11" max="11" width="11" style="55" bestFit="1" customWidth="1"/>
    <col min="12" max="12" width="11.33203125" style="55" bestFit="1" customWidth="1"/>
    <col min="13" max="13" width="9.109375" style="55"/>
    <col min="14" max="15" width="11" style="55" bestFit="1" customWidth="1"/>
    <col min="16" max="16384" width="9.109375" style="55"/>
  </cols>
  <sheetData>
    <row r="1" spans="1:12" x14ac:dyDescent="0.3">
      <c r="D1" s="79"/>
      <c r="E1" s="55"/>
      <c r="H1" s="80"/>
      <c r="I1" s="80"/>
      <c r="J1" s="79"/>
    </row>
    <row r="3" spans="1:12" ht="26.4" x14ac:dyDescent="0.3">
      <c r="A3" s="297" t="s">
        <v>319</v>
      </c>
      <c r="B3" s="305"/>
      <c r="C3" s="305"/>
      <c r="D3" s="298"/>
      <c r="E3" s="298"/>
      <c r="F3" s="298"/>
      <c r="G3" s="298"/>
      <c r="H3" s="299"/>
      <c r="J3" s="79"/>
    </row>
    <row r="4" spans="1:12" ht="19.8" x14ac:dyDescent="0.3">
      <c r="A4" s="185" t="s">
        <v>185</v>
      </c>
      <c r="B4" s="191">
        <v>45471</v>
      </c>
      <c r="C4" s="189"/>
      <c r="D4" s="189"/>
      <c r="E4" s="189"/>
      <c r="F4" s="189"/>
      <c r="G4" s="189"/>
      <c r="H4" s="190"/>
      <c r="J4" s="79"/>
    </row>
    <row r="5" spans="1:12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2" ht="20.399999999999999" x14ac:dyDescent="0.3">
      <c r="A6" s="83"/>
      <c r="B6" s="83"/>
      <c r="C6" s="83"/>
      <c r="D6" s="83"/>
      <c r="E6" s="83"/>
      <c r="F6" s="84"/>
      <c r="G6" s="85"/>
      <c r="H6" s="85"/>
      <c r="J6" s="79"/>
    </row>
    <row r="7" spans="1:12" ht="20.399999999999999" x14ac:dyDescent="0.3">
      <c r="A7" s="52" t="s">
        <v>508</v>
      </c>
      <c r="B7" s="52"/>
      <c r="C7" s="52"/>
      <c r="D7" s="53"/>
      <c r="E7" s="53"/>
      <c r="F7" s="54"/>
      <c r="G7" s="53"/>
      <c r="H7" s="53"/>
    </row>
    <row r="8" spans="1:12" ht="20.399999999999999" x14ac:dyDescent="0.3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2" ht="20.399999999999999" x14ac:dyDescent="0.3">
      <c r="A10" s="66" t="s">
        <v>829</v>
      </c>
      <c r="B10" s="62">
        <f>D10/DADOS_INICIAIS!$E$9</f>
        <v>0.60624835523563658</v>
      </c>
      <c r="C10" s="62" t="s">
        <v>37</v>
      </c>
      <c r="D10" s="67">
        <f>'PISO E TETO'!M16+'PISO E TETO'!M17</f>
        <v>7970.8199999999979</v>
      </c>
      <c r="E10" s="67" t="s">
        <v>2</v>
      </c>
      <c r="F10" s="88">
        <v>60</v>
      </c>
      <c r="G10" s="89">
        <f>F10*D10*1.1</f>
        <v>526074.11999999988</v>
      </c>
      <c r="H10" s="67"/>
    </row>
    <row r="11" spans="1:12" ht="20.399999999999999" x14ac:dyDescent="0.3">
      <c r="A11" s="78" t="s">
        <v>197</v>
      </c>
      <c r="B11" s="62">
        <v>1.2</v>
      </c>
      <c r="C11" s="62" t="s">
        <v>317</v>
      </c>
      <c r="D11" s="67">
        <f>(D10)*B11</f>
        <v>9564.9839999999967</v>
      </c>
      <c r="E11" s="67" t="s">
        <v>2</v>
      </c>
      <c r="F11" s="88">
        <v>22</v>
      </c>
      <c r="G11" s="89">
        <f>F11*D11*1.1</f>
        <v>231472.61279999994</v>
      </c>
      <c r="H11" s="67"/>
    </row>
    <row r="12" spans="1:12" ht="20.399999999999999" x14ac:dyDescent="0.3">
      <c r="A12" s="78" t="s">
        <v>196</v>
      </c>
      <c r="B12" s="62">
        <f>D12/DADOS_INICIAIS!$E$9</f>
        <v>0.23658944703972831</v>
      </c>
      <c r="C12" s="62" t="s">
        <v>37</v>
      </c>
      <c r="D12" s="67">
        <f>'PISO E TETO'!M15</f>
        <v>3110.6259999999993</v>
      </c>
      <c r="E12" s="67" t="s">
        <v>2</v>
      </c>
      <c r="F12" s="88">
        <f>7.5</f>
        <v>7.5</v>
      </c>
      <c r="G12" s="89">
        <f>F12*D12*1.1</f>
        <v>25662.664499999999</v>
      </c>
      <c r="H12" s="67"/>
    </row>
    <row r="13" spans="1:12" ht="20.399999999999999" x14ac:dyDescent="0.3">
      <c r="A13" s="78" t="s">
        <v>840</v>
      </c>
      <c r="B13" s="62">
        <f>D13/DADOS_INICIAIS!$E$9</f>
        <v>0.23658944703972831</v>
      </c>
      <c r="C13" s="62" t="s">
        <v>37</v>
      </c>
      <c r="D13" s="67">
        <f>D12</f>
        <v>3110.6259999999993</v>
      </c>
      <c r="E13" s="67" t="s">
        <v>2</v>
      </c>
      <c r="F13" s="88">
        <v>22</v>
      </c>
      <c r="G13" s="89">
        <f>F13*D13*1.1</f>
        <v>75277.149199999985</v>
      </c>
      <c r="H13" s="67"/>
    </row>
    <row r="14" spans="1:12" ht="20.399999999999999" x14ac:dyDescent="0.3">
      <c r="A14" s="296" t="s">
        <v>17</v>
      </c>
      <c r="B14" s="296"/>
      <c r="C14" s="296"/>
      <c r="D14" s="296"/>
      <c r="E14" s="296"/>
      <c r="F14" s="296"/>
      <c r="G14" s="90">
        <f>SUM(G10:G12)</f>
        <v>783209.39729999984</v>
      </c>
      <c r="H14" s="90">
        <f>G14/DADOS_INICIAIS!$E$9</f>
        <v>59.569706619672658</v>
      </c>
      <c r="K14" s="55">
        <f>4160+1440+1120+2880+4800+91680+4000</f>
        <v>110080</v>
      </c>
      <c r="L14" s="55">
        <f>K14/21</f>
        <v>5241.9047619047615</v>
      </c>
    </row>
    <row r="15" spans="1:12" ht="20.399999999999999" x14ac:dyDescent="0.3">
      <c r="A15" s="52" t="s">
        <v>509</v>
      </c>
      <c r="B15" s="52"/>
      <c r="C15" s="52"/>
      <c r="D15" s="53"/>
      <c r="E15" s="53"/>
      <c r="F15" s="54"/>
      <c r="G15" s="53"/>
      <c r="H15" s="53"/>
    </row>
    <row r="16" spans="1:12" ht="20.399999999999999" x14ac:dyDescent="0.3">
      <c r="A16" s="56"/>
      <c r="B16" s="56"/>
      <c r="C16" s="56"/>
      <c r="D16" s="57"/>
      <c r="E16" s="57"/>
      <c r="F16" s="58"/>
      <c r="G16" s="59"/>
      <c r="H16" s="59"/>
    </row>
    <row r="17" spans="1:12" ht="42" customHeight="1" x14ac:dyDescent="0.3">
      <c r="A17" s="63" t="s">
        <v>14</v>
      </c>
      <c r="B17" s="301" t="s">
        <v>5</v>
      </c>
      <c r="C17" s="302"/>
      <c r="D17" s="301" t="s">
        <v>18</v>
      </c>
      <c r="E17" s="302"/>
      <c r="F17" s="65" t="s">
        <v>118</v>
      </c>
      <c r="G17" s="71" t="s">
        <v>16</v>
      </c>
      <c r="H17" s="90" t="s">
        <v>298</v>
      </c>
    </row>
    <row r="18" spans="1:12" ht="20.399999999999999" x14ac:dyDescent="0.3">
      <c r="A18" s="66" t="s">
        <v>829</v>
      </c>
      <c r="B18" s="62">
        <f>D18/DADOS_INICIAIS!$E$9</f>
        <v>0.57811432804625551</v>
      </c>
      <c r="C18" s="62" t="s">
        <v>37</v>
      </c>
      <c r="D18" s="67">
        <f>'PISO E TETO'!$M$16+'PISO E TETO'!M17-TETO!D20</f>
        <v>7600.9199999999983</v>
      </c>
      <c r="E18" s="67" t="s">
        <v>2</v>
      </c>
      <c r="F18" s="88">
        <v>60</v>
      </c>
      <c r="G18" s="89">
        <f>F18*D18*1.1</f>
        <v>501660.71999999991</v>
      </c>
      <c r="H18" s="67"/>
    </row>
    <row r="19" spans="1:12" ht="20.399999999999999" x14ac:dyDescent="0.3">
      <c r="A19" s="78" t="s">
        <v>197</v>
      </c>
      <c r="B19" s="62">
        <v>1.2</v>
      </c>
      <c r="C19" s="62" t="s">
        <v>317</v>
      </c>
      <c r="D19" s="67">
        <f>(D18)*B19</f>
        <v>9121.1039999999975</v>
      </c>
      <c r="E19" s="67" t="s">
        <v>2</v>
      </c>
      <c r="F19" s="88">
        <v>22</v>
      </c>
      <c r="G19" s="89">
        <f>F19*D19*1.1</f>
        <v>220730.71679999997</v>
      </c>
      <c r="H19" s="67"/>
    </row>
    <row r="20" spans="1:12" ht="20.399999999999999" x14ac:dyDescent="0.3">
      <c r="A20" s="78" t="s">
        <v>510</v>
      </c>
      <c r="B20" s="62">
        <f>D20/DADOS_INICIAIS!$E$9</f>
        <v>2.8134027189381017E-2</v>
      </c>
      <c r="C20" s="62" t="s">
        <v>37</v>
      </c>
      <c r="D20" s="67">
        <v>369.9</v>
      </c>
      <c r="E20" s="67" t="s">
        <v>2</v>
      </c>
      <c r="F20" s="88">
        <v>579</v>
      </c>
      <c r="G20" s="89">
        <f>F20*D20*1.1</f>
        <v>235589.31</v>
      </c>
      <c r="H20" s="67">
        <f>G20/D20</f>
        <v>636.9</v>
      </c>
    </row>
    <row r="21" spans="1:12" ht="20.399999999999999" x14ac:dyDescent="0.3">
      <c r="A21" s="78" t="s">
        <v>196</v>
      </c>
      <c r="B21" s="62">
        <f>D21/DADOS_INICIAIS!$E$9</f>
        <v>0.23658944703972831</v>
      </c>
      <c r="C21" s="62" t="s">
        <v>37</v>
      </c>
      <c r="D21" s="67">
        <f>'PISO E TETO'!$M$15</f>
        <v>3110.6259999999993</v>
      </c>
      <c r="E21" s="67" t="s">
        <v>2</v>
      </c>
      <c r="F21" s="88">
        <f>7.5+22</f>
        <v>29.5</v>
      </c>
      <c r="G21" s="89">
        <f>F21*D21*1.1</f>
        <v>100939.81369999998</v>
      </c>
      <c r="H21" s="67"/>
    </row>
    <row r="22" spans="1:12" ht="20.399999999999999" x14ac:dyDescent="0.3">
      <c r="A22" s="296" t="s">
        <v>17</v>
      </c>
      <c r="B22" s="296"/>
      <c r="C22" s="296"/>
      <c r="D22" s="296"/>
      <c r="E22" s="296"/>
      <c r="F22" s="296"/>
      <c r="G22" s="90">
        <f>SUM(G18:G21)</f>
        <v>1058920.5604999999</v>
      </c>
      <c r="H22" s="90">
        <f>G22/DADOS_INICIAIS!$E$9</f>
        <v>80.539875210872097</v>
      </c>
      <c r="K22" s="55">
        <f>4160+1440+1120+2880+4800+91680+4000</f>
        <v>110080</v>
      </c>
      <c r="L22" s="55">
        <f>K22/21</f>
        <v>5241.9047619047615</v>
      </c>
    </row>
    <row r="23" spans="1:12" ht="20.399999999999999" x14ac:dyDescent="0.3">
      <c r="A23" s="52" t="s">
        <v>511</v>
      </c>
      <c r="B23" s="52"/>
      <c r="C23" s="52"/>
      <c r="D23" s="53"/>
      <c r="E23" s="53"/>
      <c r="F23" s="54"/>
      <c r="G23" s="53"/>
      <c r="H23" s="53"/>
    </row>
    <row r="24" spans="1:12" ht="20.399999999999999" x14ac:dyDescent="0.3">
      <c r="A24" s="56"/>
      <c r="B24" s="56"/>
      <c r="C24" s="56"/>
      <c r="D24" s="57"/>
      <c r="E24" s="57"/>
      <c r="F24" s="58"/>
      <c r="G24" s="59"/>
      <c r="H24" s="59"/>
    </row>
    <row r="25" spans="1:12" ht="42" customHeight="1" x14ac:dyDescent="0.3">
      <c r="A25" s="63" t="s">
        <v>14</v>
      </c>
      <c r="B25" s="301" t="s">
        <v>5</v>
      </c>
      <c r="C25" s="302"/>
      <c r="D25" s="301" t="s">
        <v>18</v>
      </c>
      <c r="E25" s="302"/>
      <c r="F25" s="65" t="s">
        <v>118</v>
      </c>
      <c r="G25" s="71" t="s">
        <v>16</v>
      </c>
      <c r="H25" s="90" t="s">
        <v>298</v>
      </c>
    </row>
    <row r="26" spans="1:12" ht="20.399999999999999" x14ac:dyDescent="0.3">
      <c r="A26" s="66" t="s">
        <v>829</v>
      </c>
      <c r="B26" s="62">
        <f>D26/DADOS_INICIAIS!$E$9</f>
        <v>0.57811432804625551</v>
      </c>
      <c r="C26" s="62" t="s">
        <v>37</v>
      </c>
      <c r="D26" s="67">
        <f>'PISO E TETO'!$M$16+'PISO E TETO'!M17-TETO!D28</f>
        <v>7600.9199999999983</v>
      </c>
      <c r="E26" s="67" t="s">
        <v>2</v>
      </c>
      <c r="F26" s="88">
        <v>60</v>
      </c>
      <c r="G26" s="89">
        <f>F26*D26*1.1</f>
        <v>501660.71999999991</v>
      </c>
      <c r="H26" s="67"/>
    </row>
    <row r="27" spans="1:12" ht="20.399999999999999" x14ac:dyDescent="0.3">
      <c r="A27" s="78" t="s">
        <v>197</v>
      </c>
      <c r="B27" s="62">
        <v>1.2</v>
      </c>
      <c r="C27" s="62" t="s">
        <v>317</v>
      </c>
      <c r="D27" s="67">
        <f>(D26)*B27</f>
        <v>9121.1039999999975</v>
      </c>
      <c r="E27" s="67" t="s">
        <v>2</v>
      </c>
      <c r="F27" s="88">
        <v>22</v>
      </c>
      <c r="G27" s="89">
        <f>F27*D27*1.1</f>
        <v>220730.71679999997</v>
      </c>
      <c r="H27" s="67"/>
    </row>
    <row r="28" spans="1:12" ht="20.399999999999999" x14ac:dyDescent="0.3">
      <c r="A28" s="78" t="s">
        <v>512</v>
      </c>
      <c r="B28" s="62">
        <f>D28/DADOS_INICIAIS!$E$9</f>
        <v>2.8134027189381017E-2</v>
      </c>
      <c r="C28" s="62" t="s">
        <v>37</v>
      </c>
      <c r="D28" s="67">
        <v>369.9</v>
      </c>
      <c r="E28" s="67" t="s">
        <v>2</v>
      </c>
      <c r="F28" s="88">
        <v>74.16</v>
      </c>
      <c r="G28" s="89">
        <f>F28*D28*1.1</f>
        <v>30174.962399999997</v>
      </c>
      <c r="H28" s="67">
        <f>G28/D28</f>
        <v>81.575999999999993</v>
      </c>
    </row>
    <row r="29" spans="1:12" ht="20.399999999999999" x14ac:dyDescent="0.3">
      <c r="A29" s="78" t="s">
        <v>196</v>
      </c>
      <c r="B29" s="62">
        <f>D29/DADOS_INICIAIS!$E$9</f>
        <v>0.23658944703972831</v>
      </c>
      <c r="C29" s="62" t="s">
        <v>37</v>
      </c>
      <c r="D29" s="67">
        <f>'PISO E TETO'!$M$15</f>
        <v>3110.6259999999993</v>
      </c>
      <c r="E29" s="67" t="s">
        <v>2</v>
      </c>
      <c r="F29" s="88">
        <f>7.5+22</f>
        <v>29.5</v>
      </c>
      <c r="G29" s="89">
        <f>F29*D29*1.1</f>
        <v>100939.81369999998</v>
      </c>
      <c r="H29" s="67"/>
    </row>
    <row r="30" spans="1:12" ht="20.399999999999999" x14ac:dyDescent="0.3">
      <c r="A30" s="296" t="s">
        <v>17</v>
      </c>
      <c r="B30" s="296"/>
      <c r="C30" s="296"/>
      <c r="D30" s="296"/>
      <c r="E30" s="296"/>
      <c r="F30" s="296"/>
      <c r="G30" s="90">
        <f>SUM(G26:G29)</f>
        <v>853506.21289999981</v>
      </c>
      <c r="H30" s="90">
        <f>G30/DADOS_INICIAIS!$E$9</f>
        <v>64.916374695956264</v>
      </c>
      <c r="K30" s="55">
        <f>4160+1440+1120+2880+4800+91680+4000</f>
        <v>110080</v>
      </c>
      <c r="L30" s="55">
        <f>K30/21</f>
        <v>5241.9047619047615</v>
      </c>
    </row>
    <row r="31" spans="1:12" ht="20.399999999999999" x14ac:dyDescent="0.3">
      <c r="A31" s="52" t="s">
        <v>513</v>
      </c>
      <c r="B31" s="52"/>
      <c r="C31" s="52"/>
      <c r="D31" s="53"/>
      <c r="E31" s="53"/>
      <c r="F31" s="54"/>
      <c r="G31" s="53"/>
      <c r="H31" s="53"/>
    </row>
    <row r="32" spans="1:12" ht="20.399999999999999" x14ac:dyDescent="0.3">
      <c r="A32" s="56"/>
      <c r="B32" s="56"/>
      <c r="C32" s="56"/>
      <c r="D32" s="57"/>
      <c r="E32" s="57"/>
      <c r="F32" s="58"/>
      <c r="G32" s="59"/>
      <c r="H32" s="59"/>
    </row>
    <row r="33" spans="1:12" ht="42" customHeight="1" x14ac:dyDescent="0.3">
      <c r="A33" s="63" t="s">
        <v>14</v>
      </c>
      <c r="B33" s="301" t="s">
        <v>5</v>
      </c>
      <c r="C33" s="302"/>
      <c r="D33" s="301" t="s">
        <v>18</v>
      </c>
      <c r="E33" s="302"/>
      <c r="F33" s="65" t="s">
        <v>118</v>
      </c>
      <c r="G33" s="71" t="s">
        <v>16</v>
      </c>
      <c r="H33" s="90" t="s">
        <v>298</v>
      </c>
    </row>
    <row r="34" spans="1:12" ht="20.399999999999999" x14ac:dyDescent="0.3">
      <c r="A34" s="66" t="s">
        <v>829</v>
      </c>
      <c r="B34" s="62">
        <f>D34/DADOS_INICIAIS!$E$9</f>
        <v>0.57811432804625551</v>
      </c>
      <c r="C34" s="62" t="s">
        <v>37</v>
      </c>
      <c r="D34" s="67">
        <f>'PISO E TETO'!$M$16+'PISO E TETO'!M17-TETO!D36</f>
        <v>7600.9199999999983</v>
      </c>
      <c r="E34" s="67" t="s">
        <v>2</v>
      </c>
      <c r="F34" s="88">
        <v>60</v>
      </c>
      <c r="G34" s="89">
        <f>F34*D34*1.1</f>
        <v>501660.71999999991</v>
      </c>
      <c r="H34" s="67"/>
    </row>
    <row r="35" spans="1:12" ht="20.399999999999999" x14ac:dyDescent="0.3">
      <c r="A35" s="78" t="s">
        <v>197</v>
      </c>
      <c r="B35" s="62">
        <v>1.2</v>
      </c>
      <c r="C35" s="62" t="s">
        <v>317</v>
      </c>
      <c r="D35" s="67">
        <f>(D34)*B35</f>
        <v>9121.1039999999975</v>
      </c>
      <c r="E35" s="67" t="s">
        <v>2</v>
      </c>
      <c r="F35" s="88">
        <v>22</v>
      </c>
      <c r="G35" s="89">
        <f>F35*D35*1.1</f>
        <v>220730.71679999997</v>
      </c>
      <c r="H35" s="67"/>
    </row>
    <row r="36" spans="1:12" ht="20.399999999999999" x14ac:dyDescent="0.3">
      <c r="A36" s="78" t="s">
        <v>512</v>
      </c>
      <c r="B36" s="62">
        <f>D36/DADOS_INICIAIS!$E$9</f>
        <v>2.8134027189381017E-2</v>
      </c>
      <c r="C36" s="62" t="s">
        <v>37</v>
      </c>
      <c r="D36" s="67">
        <v>369.9</v>
      </c>
      <c r="E36" s="67" t="s">
        <v>2</v>
      </c>
      <c r="F36" s="88">
        <f>F18+'Acabamentos de Piso e Parede'!D19+20</f>
        <v>230</v>
      </c>
      <c r="G36" s="89">
        <f>F36*D36*1.1</f>
        <v>93584.700000000012</v>
      </c>
      <c r="H36" s="67">
        <f>G36/D36</f>
        <v>253.00000000000006</v>
      </c>
    </row>
    <row r="37" spans="1:12" ht="20.399999999999999" x14ac:dyDescent="0.3">
      <c r="A37" s="78" t="s">
        <v>196</v>
      </c>
      <c r="B37" s="62">
        <f>D37/DADOS_INICIAIS!$E$9</f>
        <v>0.23658944703972831</v>
      </c>
      <c r="C37" s="62" t="s">
        <v>37</v>
      </c>
      <c r="D37" s="67">
        <f>'PISO E TETO'!$M$15</f>
        <v>3110.6259999999993</v>
      </c>
      <c r="E37" s="67" t="s">
        <v>2</v>
      </c>
      <c r="F37" s="88">
        <f>7.5+22</f>
        <v>29.5</v>
      </c>
      <c r="G37" s="89">
        <f>F37*D37*1.1</f>
        <v>100939.81369999998</v>
      </c>
      <c r="H37" s="67"/>
    </row>
    <row r="38" spans="1:12" ht="20.399999999999999" x14ac:dyDescent="0.3">
      <c r="A38" s="296" t="s">
        <v>17</v>
      </c>
      <c r="B38" s="296"/>
      <c r="C38" s="296"/>
      <c r="D38" s="296"/>
      <c r="E38" s="296"/>
      <c r="F38" s="296"/>
      <c r="G38" s="90">
        <f>SUM(G34:G37)</f>
        <v>916915.95049999992</v>
      </c>
      <c r="H38" s="90">
        <f>G38/DADOS_INICIAIS!$E$9</f>
        <v>69.739222172868722</v>
      </c>
      <c r="K38" s="55">
        <f>4160+1440+1120+2880+4800+91680+4000</f>
        <v>110080</v>
      </c>
      <c r="L38" s="55">
        <f>K38/21</f>
        <v>5241.9047619047615</v>
      </c>
    </row>
    <row r="40" spans="1:12" ht="20.399999999999999" x14ac:dyDescent="0.3">
      <c r="A40" s="306" t="s">
        <v>345</v>
      </c>
      <c r="B40" s="307"/>
      <c r="C40" s="307"/>
      <c r="D40" s="307"/>
      <c r="E40" s="307"/>
      <c r="F40" s="308"/>
      <c r="G40" s="91">
        <f>G14</f>
        <v>783209.39729999984</v>
      </c>
      <c r="H40" s="91">
        <f>G40/DADOS_INICIAIS!E9</f>
        <v>59.569706619672658</v>
      </c>
    </row>
    <row r="42" spans="1:12" x14ac:dyDescent="0.3">
      <c r="G42" s="55">
        <f>G22/DADOS_INICIAIS!E9</f>
        <v>80.539875210872097</v>
      </c>
    </row>
    <row r="43" spans="1:12" x14ac:dyDescent="0.3">
      <c r="H43" s="194">
        <f>H40/1.1</f>
        <v>54.154278745156958</v>
      </c>
    </row>
  </sheetData>
  <mergeCells count="14">
    <mergeCell ref="A3:H3"/>
    <mergeCell ref="B9:C9"/>
    <mergeCell ref="D9:E9"/>
    <mergeCell ref="A14:F14"/>
    <mergeCell ref="A40:F40"/>
    <mergeCell ref="B17:C17"/>
    <mergeCell ref="D17:E17"/>
    <mergeCell ref="A22:F22"/>
    <mergeCell ref="B25:C25"/>
    <mergeCell ref="D25:E25"/>
    <mergeCell ref="A30:F30"/>
    <mergeCell ref="B33:C33"/>
    <mergeCell ref="D33:E33"/>
    <mergeCell ref="A38:F3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L116"/>
  <sheetViews>
    <sheetView showGridLines="0" topLeftCell="A18" zoomScaleNormal="100" zoomScaleSheetLayoutView="95" workbookViewId="0">
      <selection activeCell="D37" sqref="D37"/>
    </sheetView>
  </sheetViews>
  <sheetFormatPr defaultColWidth="9.109375" defaultRowHeight="13.2" x14ac:dyDescent="0.3"/>
  <cols>
    <col min="1" max="1" width="47.44140625" style="1" customWidth="1"/>
    <col min="2" max="2" width="14" style="114" customWidth="1"/>
    <col min="3" max="3" width="7.5546875" style="113" customWidth="1"/>
    <col min="4" max="4" width="10.6640625" style="112" customWidth="1"/>
    <col min="5" max="5" width="15.88671875" style="1" customWidth="1"/>
    <col min="6" max="6" width="12.88671875" style="1" customWidth="1"/>
    <col min="7" max="7" width="17" style="1" customWidth="1"/>
    <col min="8" max="8" width="11.88671875" style="1" customWidth="1"/>
    <col min="9" max="9" width="13.88671875" style="1" bestFit="1" customWidth="1"/>
    <col min="10" max="10" width="12.109375" style="1" bestFit="1" customWidth="1"/>
    <col min="11" max="11" width="13.88671875" style="1" bestFit="1" customWidth="1"/>
    <col min="12" max="16384" width="9.109375" style="1"/>
  </cols>
  <sheetData>
    <row r="1" spans="1:11" x14ac:dyDescent="0.3">
      <c r="B1" s="2"/>
      <c r="C1" s="1"/>
      <c r="D1" s="1"/>
      <c r="G1" s="161"/>
      <c r="H1" s="161"/>
      <c r="I1" s="2"/>
    </row>
    <row r="2" spans="1:11" ht="12.75" customHeight="1" x14ac:dyDescent="0.3">
      <c r="A2" s="332" t="s">
        <v>187</v>
      </c>
      <c r="B2" s="2"/>
      <c r="C2" s="1"/>
      <c r="D2" s="1"/>
      <c r="G2" s="166"/>
      <c r="H2" s="166"/>
      <c r="I2" s="2"/>
    </row>
    <row r="3" spans="1:11" ht="12.75" customHeight="1" x14ac:dyDescent="0.3">
      <c r="A3" s="333"/>
      <c r="B3" s="2"/>
      <c r="C3" s="1"/>
      <c r="D3" s="1"/>
      <c r="G3" s="166"/>
      <c r="H3" s="166"/>
      <c r="I3" s="2"/>
    </row>
    <row r="4" spans="1:11" ht="12.75" customHeight="1" x14ac:dyDescent="0.3">
      <c r="A4" s="333"/>
      <c r="B4" s="2"/>
      <c r="C4" s="1"/>
      <c r="D4" s="1"/>
      <c r="G4" s="166"/>
      <c r="H4" s="166"/>
      <c r="I4" s="2"/>
    </row>
    <row r="5" spans="1:11" ht="13.8" thickBot="1" x14ac:dyDescent="0.35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3">
      <c r="A6" s="162"/>
      <c r="B6" s="2"/>
      <c r="C6" s="1"/>
      <c r="D6" s="1"/>
      <c r="G6" s="161"/>
      <c r="H6" s="161"/>
      <c r="I6" s="2"/>
    </row>
    <row r="7" spans="1:11" x14ac:dyDescent="0.3">
      <c r="A7" s="160" t="s">
        <v>186</v>
      </c>
      <c r="B7" s="159"/>
      <c r="C7" s="158"/>
      <c r="D7" s="158"/>
      <c r="E7" s="158"/>
      <c r="F7" s="158"/>
      <c r="G7" s="158"/>
      <c r="H7" s="157"/>
      <c r="I7" s="2"/>
    </row>
    <row r="8" spans="1:11" x14ac:dyDescent="0.3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1" ht="15" customHeight="1" x14ac:dyDescent="0.3">
      <c r="A9" s="152" t="s">
        <v>185</v>
      </c>
      <c r="B9" s="151">
        <v>45471</v>
      </c>
      <c r="C9" s="150"/>
      <c r="D9" s="150"/>
      <c r="E9" s="150"/>
      <c r="F9" s="150"/>
      <c r="G9" s="150"/>
      <c r="H9" s="149"/>
    </row>
    <row r="10" spans="1:11" x14ac:dyDescent="0.3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1" x14ac:dyDescent="0.3">
      <c r="A12" s="144" t="s">
        <v>515</v>
      </c>
      <c r="B12" s="143"/>
      <c r="C12" s="142"/>
      <c r="D12" s="141"/>
      <c r="E12" s="140"/>
      <c r="F12" s="140"/>
      <c r="G12" s="140"/>
      <c r="H12" s="139"/>
    </row>
    <row r="13" spans="1:11" ht="15.9" customHeight="1" x14ac:dyDescent="0.3">
      <c r="A13" s="138"/>
      <c r="B13" s="137"/>
      <c r="C13" s="136"/>
      <c r="D13" s="135"/>
      <c r="E13" s="135"/>
      <c r="F13" s="135"/>
      <c r="H13" s="131"/>
    </row>
    <row r="14" spans="1:11" ht="15.9" customHeight="1" x14ac:dyDescent="0.3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206"/>
      <c r="I14" s="2"/>
    </row>
    <row r="15" spans="1:11" ht="15.9" customHeight="1" x14ac:dyDescent="0.3">
      <c r="A15" s="170" t="s">
        <v>207</v>
      </c>
      <c r="B15" s="178">
        <f>'PISO E TETO'!$M$27</f>
        <v>4938.989999999998</v>
      </c>
      <c r="C15" s="169" t="s">
        <v>205</v>
      </c>
      <c r="D15" s="176">
        <f>125+45</f>
        <v>170</v>
      </c>
      <c r="E15" s="127" t="s">
        <v>170</v>
      </c>
      <c r="F15" s="168" t="s">
        <v>169</v>
      </c>
      <c r="G15" s="125">
        <f>+D15*B15*1.1</f>
        <v>923591.12999999977</v>
      </c>
      <c r="H15" s="131"/>
      <c r="J15" s="115"/>
      <c r="K15" s="115"/>
    </row>
    <row r="16" spans="1:11" ht="15.9" customHeight="1" x14ac:dyDescent="0.3">
      <c r="A16" s="170" t="s">
        <v>487</v>
      </c>
      <c r="B16" s="178">
        <f>'PISO E TETO'!$M$28</f>
        <v>27.2</v>
      </c>
      <c r="C16" s="169" t="s">
        <v>205</v>
      </c>
      <c r="D16" s="176">
        <f>85.1+45</f>
        <v>130.1</v>
      </c>
      <c r="E16" s="127" t="s">
        <v>170</v>
      </c>
      <c r="F16" s="168" t="s">
        <v>169</v>
      </c>
      <c r="G16" s="125">
        <f>+D16*B16*1.1</f>
        <v>3892.5920000000001</v>
      </c>
      <c r="H16" s="131"/>
      <c r="J16" s="115"/>
      <c r="K16" s="115"/>
    </row>
    <row r="17" spans="1:11" ht="15.9" customHeight="1" x14ac:dyDescent="0.3">
      <c r="A17" s="180" t="s">
        <v>206</v>
      </c>
      <c r="B17" s="178">
        <f>'PISO E TETO'!$M$33</f>
        <v>54.960000000000008</v>
      </c>
      <c r="C17" s="169" t="s">
        <v>205</v>
      </c>
      <c r="D17" s="176">
        <f>290+50</f>
        <v>340</v>
      </c>
      <c r="E17" s="127" t="s">
        <v>170</v>
      </c>
      <c r="F17" s="168" t="s">
        <v>169</v>
      </c>
      <c r="G17" s="125">
        <f t="shared" ref="G17:G20" si="0">+D17*B17*1.1</f>
        <v>20555.040000000005</v>
      </c>
      <c r="H17" s="131"/>
      <c r="J17" s="115"/>
    </row>
    <row r="18" spans="1:11" ht="15.9" customHeight="1" x14ac:dyDescent="0.3">
      <c r="A18" s="170" t="s">
        <v>488</v>
      </c>
      <c r="B18" s="178">
        <f>'PISO E TETO'!$M$26</f>
        <v>134.11000000000001</v>
      </c>
      <c r="C18" s="169" t="s">
        <v>205</v>
      </c>
      <c r="D18" s="176">
        <f>60+21</f>
        <v>81</v>
      </c>
      <c r="E18" s="127" t="s">
        <v>170</v>
      </c>
      <c r="F18" s="168" t="s">
        <v>169</v>
      </c>
      <c r="G18" s="125">
        <f t="shared" si="0"/>
        <v>11949.201000000003</v>
      </c>
      <c r="H18" s="131"/>
    </row>
    <row r="19" spans="1:11" ht="15.9" customHeight="1" x14ac:dyDescent="0.3">
      <c r="A19" s="170" t="s">
        <v>396</v>
      </c>
      <c r="B19" s="178">
        <f>'PISO E TETO'!$M$30</f>
        <v>2328.2100000000005</v>
      </c>
      <c r="C19" s="169" t="s">
        <v>205</v>
      </c>
      <c r="D19" s="176">
        <v>150</v>
      </c>
      <c r="E19" s="127" t="s">
        <v>170</v>
      </c>
      <c r="F19" s="168" t="s">
        <v>169</v>
      </c>
      <c r="G19" s="125">
        <f t="shared" si="0"/>
        <v>384154.65000000008</v>
      </c>
      <c r="H19" s="131"/>
    </row>
    <row r="20" spans="1:11" ht="15.9" customHeight="1" x14ac:dyDescent="0.3">
      <c r="A20" s="170" t="s">
        <v>397</v>
      </c>
      <c r="B20" s="178">
        <f>'PISO E TETO'!$M$29</f>
        <v>126.97999999999999</v>
      </c>
      <c r="C20" s="169" t="s">
        <v>205</v>
      </c>
      <c r="D20" s="176">
        <v>350</v>
      </c>
      <c r="E20" s="127" t="s">
        <v>170</v>
      </c>
      <c r="F20" s="168" t="s">
        <v>169</v>
      </c>
      <c r="G20" s="125">
        <f t="shared" si="0"/>
        <v>48887.3</v>
      </c>
      <c r="H20" s="131">
        <f>G20/B20</f>
        <v>385.00000000000006</v>
      </c>
    </row>
    <row r="21" spans="1:11" ht="15.9" customHeight="1" x14ac:dyDescent="0.3">
      <c r="A21" s="170" t="s">
        <v>489</v>
      </c>
      <c r="B21" s="178">
        <f>'PISO E TETO'!$M$32</f>
        <v>96.22</v>
      </c>
      <c r="C21" s="169" t="s">
        <v>205</v>
      </c>
      <c r="D21" s="176">
        <f>768+40</f>
        <v>808</v>
      </c>
      <c r="E21" s="127" t="s">
        <v>170</v>
      </c>
      <c r="F21" s="168" t="s">
        <v>169</v>
      </c>
      <c r="G21" s="125">
        <f t="shared" ref="G21:G22" si="1">+D21*B21*1.1</f>
        <v>85520.335999999996</v>
      </c>
      <c r="H21" s="131">
        <f>G21/B21</f>
        <v>888.8</v>
      </c>
      <c r="I21" s="115">
        <f>B21*(245+45)*1.1</f>
        <v>30694.18</v>
      </c>
      <c r="J21" s="1">
        <f>I21/B21</f>
        <v>319</v>
      </c>
    </row>
    <row r="22" spans="1:11" ht="15.9" customHeight="1" x14ac:dyDescent="0.3">
      <c r="A22" s="170" t="s">
        <v>490</v>
      </c>
      <c r="B22" s="178">
        <f>'PISO E TETO'!$M$31</f>
        <v>7.41</v>
      </c>
      <c r="C22" s="169" t="s">
        <v>205</v>
      </c>
      <c r="D22" s="176">
        <f>985.2</f>
        <v>985.2</v>
      </c>
      <c r="E22" s="127" t="s">
        <v>170</v>
      </c>
      <c r="F22" s="168" t="s">
        <v>169</v>
      </c>
      <c r="G22" s="125">
        <f t="shared" si="1"/>
        <v>8030.3652000000011</v>
      </c>
      <c r="H22" s="131"/>
    </row>
    <row r="23" spans="1:11" ht="15.9" customHeight="1" x14ac:dyDescent="0.3">
      <c r="A23" s="180" t="s">
        <v>204</v>
      </c>
      <c r="B23" s="246">
        <v>1</v>
      </c>
      <c r="C23" s="169" t="s">
        <v>27</v>
      </c>
      <c r="D23" s="176">
        <v>20</v>
      </c>
      <c r="E23" s="127" t="s">
        <v>6</v>
      </c>
      <c r="F23" s="168" t="s">
        <v>169</v>
      </c>
      <c r="G23" s="125">
        <f>D23*DADOS_INICIAIS!$E$9*1.1</f>
        <v>289251.16000000009</v>
      </c>
      <c r="H23" s="206"/>
    </row>
    <row r="24" spans="1:11" ht="15.9" customHeight="1" x14ac:dyDescent="0.3">
      <c r="A24" s="179" t="s">
        <v>203</v>
      </c>
      <c r="B24" s="246">
        <v>1</v>
      </c>
      <c r="C24" s="169" t="s">
        <v>27</v>
      </c>
      <c r="D24" s="176">
        <v>15</v>
      </c>
      <c r="E24" s="127" t="s">
        <v>6</v>
      </c>
      <c r="F24" s="168" t="s">
        <v>169</v>
      </c>
      <c r="G24" s="125">
        <f>D24*DADOS_INICIAIS!$E$9*1.1</f>
        <v>216938.37000000002</v>
      </c>
      <c r="H24" s="131"/>
      <c r="J24" s="115"/>
    </row>
    <row r="25" spans="1:11" ht="15.9" customHeight="1" x14ac:dyDescent="0.3">
      <c r="A25" s="177" t="s">
        <v>202</v>
      </c>
      <c r="B25" s="245">
        <f>Orçamento!D78+Orçamento!D79</f>
        <v>3691.46</v>
      </c>
      <c r="C25" s="169" t="s">
        <v>205</v>
      </c>
      <c r="D25" s="176">
        <f>75+45</f>
        <v>120</v>
      </c>
      <c r="E25" s="127" t="s">
        <v>6</v>
      </c>
      <c r="F25" s="168" t="s">
        <v>169</v>
      </c>
      <c r="G25" s="125">
        <f>D25*B25*1.1</f>
        <v>487272.72000000003</v>
      </c>
      <c r="H25" s="123"/>
      <c r="I25" s="1">
        <f>G25/D16</f>
        <v>3745.3706379707919</v>
      </c>
      <c r="J25" s="115"/>
    </row>
    <row r="26" spans="1:11" ht="15.9" customHeight="1" x14ac:dyDescent="0.3">
      <c r="A26" s="335"/>
      <c r="B26" s="334"/>
      <c r="C26" s="334"/>
      <c r="D26" s="334"/>
      <c r="E26" s="334"/>
      <c r="F26" s="334"/>
      <c r="G26" s="175">
        <f>SUM(G15:G25)</f>
        <v>2480042.8642000002</v>
      </c>
      <c r="H26" s="121">
        <f>G26/DADOS_INICIAIS!$E$9</f>
        <v>188.62825999522354</v>
      </c>
    </row>
    <row r="27" spans="1:11" ht="15.9" customHeight="1" x14ac:dyDescent="0.3">
      <c r="A27" s="336"/>
      <c r="B27" s="337"/>
      <c r="C27" s="337"/>
      <c r="D27" s="337"/>
      <c r="E27" s="337"/>
      <c r="F27" s="337"/>
      <c r="G27" s="167"/>
      <c r="H27" s="118"/>
    </row>
    <row r="28" spans="1:11" x14ac:dyDescent="0.3">
      <c r="A28" s="144" t="s">
        <v>514</v>
      </c>
      <c r="B28" s="143"/>
      <c r="C28" s="142"/>
      <c r="D28" s="141"/>
      <c r="E28" s="140"/>
      <c r="F28" s="140"/>
      <c r="G28" s="140"/>
      <c r="H28" s="139"/>
    </row>
    <row r="29" spans="1:11" ht="15.9" customHeight="1" x14ac:dyDescent="0.3">
      <c r="A29" s="138"/>
      <c r="B29" s="137"/>
      <c r="C29" s="136"/>
      <c r="D29" s="135"/>
      <c r="E29" s="135"/>
      <c r="F29" s="135"/>
      <c r="H29" s="131"/>
    </row>
    <row r="30" spans="1:11" ht="15.9" customHeight="1" x14ac:dyDescent="0.3">
      <c r="A30" s="134" t="s">
        <v>14</v>
      </c>
      <c r="B30" s="324" t="s">
        <v>18</v>
      </c>
      <c r="C30" s="325"/>
      <c r="D30" s="326" t="s">
        <v>5</v>
      </c>
      <c r="E30" s="327"/>
      <c r="F30" s="133" t="s">
        <v>182</v>
      </c>
      <c r="G30" s="132" t="s">
        <v>16</v>
      </c>
      <c r="H30" s="206"/>
      <c r="I30" s="2"/>
    </row>
    <row r="31" spans="1:11" ht="15.9" customHeight="1" x14ac:dyDescent="0.3">
      <c r="A31" s="170" t="s">
        <v>207</v>
      </c>
      <c r="B31" s="178">
        <f>'PISO E TETO'!$M$27</f>
        <v>4938.989999999998</v>
      </c>
      <c r="C31" s="169" t="s">
        <v>205</v>
      </c>
      <c r="D31" s="176">
        <f>125+45</f>
        <v>170</v>
      </c>
      <c r="E31" s="127" t="s">
        <v>170</v>
      </c>
      <c r="F31" s="168" t="s">
        <v>169</v>
      </c>
      <c r="G31" s="125">
        <f>+D31*B31*1.1</f>
        <v>923591.12999999977</v>
      </c>
      <c r="H31" s="131"/>
      <c r="J31" s="115"/>
      <c r="K31" s="115"/>
    </row>
    <row r="32" spans="1:11" ht="15.9" customHeight="1" x14ac:dyDescent="0.3">
      <c r="A32" s="170" t="s">
        <v>487</v>
      </c>
      <c r="B32" s="178">
        <f>'PISO E TETO'!$M$28</f>
        <v>27.2</v>
      </c>
      <c r="C32" s="169" t="s">
        <v>205</v>
      </c>
      <c r="D32" s="176">
        <f>85.1+45</f>
        <v>130.1</v>
      </c>
      <c r="E32" s="127" t="s">
        <v>170</v>
      </c>
      <c r="F32" s="168" t="s">
        <v>169</v>
      </c>
      <c r="G32" s="125">
        <f>+D32*B32*1.1</f>
        <v>3892.5920000000001</v>
      </c>
      <c r="H32" s="131"/>
      <c r="J32" s="115"/>
      <c r="K32" s="115"/>
    </row>
    <row r="33" spans="1:11" ht="15.9" customHeight="1" x14ac:dyDescent="0.3">
      <c r="A33" s="180" t="s">
        <v>206</v>
      </c>
      <c r="B33" s="178">
        <f>'PISO E TETO'!$M$33</f>
        <v>54.960000000000008</v>
      </c>
      <c r="C33" s="169" t="s">
        <v>205</v>
      </c>
      <c r="D33" s="176">
        <f>290+50</f>
        <v>340</v>
      </c>
      <c r="E33" s="127" t="s">
        <v>170</v>
      </c>
      <c r="F33" s="168" t="s">
        <v>169</v>
      </c>
      <c r="G33" s="125">
        <f t="shared" ref="G33:G38" si="2">+D33*B33*1.1</f>
        <v>20555.040000000005</v>
      </c>
      <c r="H33" s="131"/>
      <c r="J33" s="115"/>
    </row>
    <row r="34" spans="1:11" ht="15.9" customHeight="1" x14ac:dyDescent="0.3">
      <c r="A34" s="170" t="s">
        <v>488</v>
      </c>
      <c r="B34" s="178">
        <f>'PISO E TETO'!$M$26</f>
        <v>134.11000000000001</v>
      </c>
      <c r="C34" s="169" t="s">
        <v>205</v>
      </c>
      <c r="D34" s="176">
        <f>60+21</f>
        <v>81</v>
      </c>
      <c r="E34" s="127" t="s">
        <v>170</v>
      </c>
      <c r="F34" s="168" t="s">
        <v>169</v>
      </c>
      <c r="G34" s="125">
        <f t="shared" si="2"/>
        <v>11949.201000000003</v>
      </c>
      <c r="H34" s="131"/>
    </row>
    <row r="35" spans="1:11" ht="15.9" customHeight="1" x14ac:dyDescent="0.3">
      <c r="A35" s="170" t="s">
        <v>396</v>
      </c>
      <c r="B35" s="178">
        <f>'PISO E TETO'!$M$30</f>
        <v>2328.2100000000005</v>
      </c>
      <c r="C35" s="169" t="s">
        <v>205</v>
      </c>
      <c r="D35" s="176">
        <v>150</v>
      </c>
      <c r="E35" s="127" t="s">
        <v>170</v>
      </c>
      <c r="F35" s="168" t="s">
        <v>169</v>
      </c>
      <c r="G35" s="125">
        <f t="shared" si="2"/>
        <v>384154.65000000008</v>
      </c>
      <c r="H35" s="131"/>
    </row>
    <row r="36" spans="1:11" ht="15.9" customHeight="1" x14ac:dyDescent="0.3">
      <c r="A36" s="170" t="s">
        <v>397</v>
      </c>
      <c r="B36" s="178">
        <f>'PISO E TETO'!$M$29</f>
        <v>126.97999999999999</v>
      </c>
      <c r="C36" s="169" t="s">
        <v>205</v>
      </c>
      <c r="D36" s="176">
        <v>150</v>
      </c>
      <c r="E36" s="127" t="s">
        <v>170</v>
      </c>
      <c r="F36" s="168" t="s">
        <v>169</v>
      </c>
      <c r="G36" s="125">
        <f t="shared" si="2"/>
        <v>20951.7</v>
      </c>
      <c r="H36" s="131"/>
    </row>
    <row r="37" spans="1:11" ht="15.9" customHeight="1" x14ac:dyDescent="0.3">
      <c r="A37" s="170" t="s">
        <v>516</v>
      </c>
      <c r="B37" s="178">
        <f>'PISO E TETO'!$M$32</f>
        <v>96.22</v>
      </c>
      <c r="C37" s="169" t="s">
        <v>205</v>
      </c>
      <c r="D37" s="176">
        <f>250+45</f>
        <v>295</v>
      </c>
      <c r="E37" s="127" t="s">
        <v>170</v>
      </c>
      <c r="F37" s="168" t="s">
        <v>169</v>
      </c>
      <c r="G37" s="125">
        <f t="shared" si="2"/>
        <v>31223.390000000003</v>
      </c>
      <c r="H37" s="131">
        <f>G37/B37</f>
        <v>324.50000000000006</v>
      </c>
      <c r="I37" s="115">
        <f>B37*(245+45)*1.1</f>
        <v>30694.18</v>
      </c>
      <c r="J37" s="1">
        <f>I37/B37</f>
        <v>319</v>
      </c>
    </row>
    <row r="38" spans="1:11" ht="15.9" customHeight="1" x14ac:dyDescent="0.3">
      <c r="A38" s="170" t="s">
        <v>490</v>
      </c>
      <c r="B38" s="178">
        <f>'PISO E TETO'!$M$31</f>
        <v>7.41</v>
      </c>
      <c r="C38" s="169" t="s">
        <v>205</v>
      </c>
      <c r="D38" s="176">
        <f>985.2</f>
        <v>985.2</v>
      </c>
      <c r="E38" s="127" t="s">
        <v>170</v>
      </c>
      <c r="F38" s="168" t="s">
        <v>169</v>
      </c>
      <c r="G38" s="125">
        <f t="shared" si="2"/>
        <v>8030.3652000000011</v>
      </c>
      <c r="H38" s="131"/>
    </row>
    <row r="39" spans="1:11" ht="15.9" customHeight="1" x14ac:dyDescent="0.3">
      <c r="A39" s="180" t="s">
        <v>204</v>
      </c>
      <c r="B39" s="246">
        <v>1</v>
      </c>
      <c r="C39" s="169" t="s">
        <v>27</v>
      </c>
      <c r="D39" s="176">
        <v>20</v>
      </c>
      <c r="E39" s="127" t="s">
        <v>6</v>
      </c>
      <c r="F39" s="168" t="s">
        <v>169</v>
      </c>
      <c r="G39" s="125">
        <f>D39*DADOS_INICIAIS!$E$9*1.1</f>
        <v>289251.16000000009</v>
      </c>
      <c r="H39" s="206"/>
    </row>
    <row r="40" spans="1:11" ht="15.9" customHeight="1" x14ac:dyDescent="0.3">
      <c r="A40" s="179" t="s">
        <v>203</v>
      </c>
      <c r="B40" s="246">
        <v>1</v>
      </c>
      <c r="C40" s="169" t="s">
        <v>27</v>
      </c>
      <c r="D40" s="176">
        <v>15</v>
      </c>
      <c r="E40" s="127" t="s">
        <v>6</v>
      </c>
      <c r="F40" s="168" t="s">
        <v>169</v>
      </c>
      <c r="G40" s="125">
        <f>D40*DADOS_INICIAIS!$E$9*1.1</f>
        <v>216938.37000000002</v>
      </c>
      <c r="H40" s="131"/>
      <c r="J40" s="115"/>
    </row>
    <row r="41" spans="1:11" ht="15.9" customHeight="1" x14ac:dyDescent="0.3">
      <c r="A41" s="177" t="s">
        <v>202</v>
      </c>
      <c r="B41" s="245">
        <f>Orçamento!D78+Orçamento!D79</f>
        <v>3691.46</v>
      </c>
      <c r="C41" s="169" t="s">
        <v>205</v>
      </c>
      <c r="D41" s="176">
        <f>75+45</f>
        <v>120</v>
      </c>
      <c r="E41" s="127" t="s">
        <v>6</v>
      </c>
      <c r="F41" s="168" t="s">
        <v>169</v>
      </c>
      <c r="G41" s="125">
        <f>D41*B41*1.1</f>
        <v>487272.72000000003</v>
      </c>
      <c r="H41" s="123"/>
      <c r="I41" s="1">
        <f>G41/D32</f>
        <v>3745.3706379707919</v>
      </c>
      <c r="J41" s="115"/>
    </row>
    <row r="42" spans="1:11" ht="15.9" customHeight="1" x14ac:dyDescent="0.3">
      <c r="A42" s="335"/>
      <c r="B42" s="334"/>
      <c r="C42" s="334"/>
      <c r="D42" s="334"/>
      <c r="E42" s="334"/>
      <c r="F42" s="334"/>
      <c r="G42" s="175">
        <f>SUM(G31:G41)</f>
        <v>2397810.3182000001</v>
      </c>
      <c r="H42" s="121">
        <f>G42/DADOS_INICIAIS!$E$9</f>
        <v>182.37377855425021</v>
      </c>
    </row>
    <row r="43" spans="1:11" ht="15.9" customHeight="1" x14ac:dyDescent="0.3">
      <c r="A43" s="336"/>
      <c r="B43" s="337"/>
      <c r="C43" s="337"/>
      <c r="D43" s="337"/>
      <c r="E43" s="337"/>
      <c r="F43" s="337"/>
      <c r="G43" s="167"/>
      <c r="H43" s="118"/>
    </row>
    <row r="44" spans="1:11" x14ac:dyDescent="0.3">
      <c r="A44" s="144" t="s">
        <v>517</v>
      </c>
      <c r="B44" s="143"/>
      <c r="C44" s="142"/>
      <c r="D44" s="141"/>
      <c r="E44" s="140"/>
      <c r="F44" s="140"/>
      <c r="G44" s="140"/>
      <c r="H44" s="139"/>
    </row>
    <row r="45" spans="1:11" ht="15.9" customHeight="1" x14ac:dyDescent="0.3">
      <c r="A45" s="138"/>
      <c r="B45" s="137"/>
      <c r="C45" s="136"/>
      <c r="D45" s="135"/>
      <c r="E45" s="135"/>
      <c r="F45" s="135"/>
      <c r="H45" s="131"/>
    </row>
    <row r="46" spans="1:11" ht="15.9" customHeight="1" x14ac:dyDescent="0.3">
      <c r="A46" s="134" t="s">
        <v>14</v>
      </c>
      <c r="B46" s="324" t="s">
        <v>18</v>
      </c>
      <c r="C46" s="325"/>
      <c r="D46" s="326" t="s">
        <v>5</v>
      </c>
      <c r="E46" s="327"/>
      <c r="F46" s="133" t="s">
        <v>182</v>
      </c>
      <c r="G46" s="132" t="s">
        <v>16</v>
      </c>
      <c r="H46" s="206"/>
      <c r="I46" s="2"/>
    </row>
    <row r="47" spans="1:11" ht="15.9" customHeight="1" x14ac:dyDescent="0.3">
      <c r="A47" s="170" t="s">
        <v>207</v>
      </c>
      <c r="B47" s="178">
        <f>'PISO E TETO'!$M$27</f>
        <v>4938.989999999998</v>
      </c>
      <c r="C47" s="169" t="s">
        <v>205</v>
      </c>
      <c r="D47" s="176">
        <f>125+45</f>
        <v>170</v>
      </c>
      <c r="E47" s="127" t="s">
        <v>170</v>
      </c>
      <c r="F47" s="168" t="s">
        <v>169</v>
      </c>
      <c r="G47" s="125">
        <f>+D47*B47*1.1</f>
        <v>923591.12999999977</v>
      </c>
      <c r="H47" s="131"/>
      <c r="J47" s="115"/>
      <c r="K47" s="115"/>
    </row>
    <row r="48" spans="1:11" ht="15.9" customHeight="1" x14ac:dyDescent="0.3">
      <c r="A48" s="170" t="s">
        <v>487</v>
      </c>
      <c r="B48" s="178">
        <f>'PISO E TETO'!$M$28</f>
        <v>27.2</v>
      </c>
      <c r="C48" s="169" t="s">
        <v>205</v>
      </c>
      <c r="D48" s="176">
        <f>85.1+45</f>
        <v>130.1</v>
      </c>
      <c r="E48" s="127" t="s">
        <v>170</v>
      </c>
      <c r="F48" s="168" t="s">
        <v>169</v>
      </c>
      <c r="G48" s="125">
        <f>+D48*B48*1.1</f>
        <v>3892.5920000000001</v>
      </c>
      <c r="H48" s="131"/>
      <c r="J48" s="115"/>
      <c r="K48" s="115"/>
    </row>
    <row r="49" spans="1:10" ht="15.9" customHeight="1" x14ac:dyDescent="0.3">
      <c r="A49" s="180" t="s">
        <v>206</v>
      </c>
      <c r="B49" s="178">
        <f>'PISO E TETO'!$M$33</f>
        <v>54.960000000000008</v>
      </c>
      <c r="C49" s="169" t="s">
        <v>205</v>
      </c>
      <c r="D49" s="176">
        <f>290+50</f>
        <v>340</v>
      </c>
      <c r="E49" s="127" t="s">
        <v>170</v>
      </c>
      <c r="F49" s="168" t="s">
        <v>169</v>
      </c>
      <c r="G49" s="125">
        <f t="shared" ref="G49:G54" si="3">+D49*B49*1.1</f>
        <v>20555.040000000005</v>
      </c>
      <c r="H49" s="131"/>
      <c r="J49" s="115"/>
    </row>
    <row r="50" spans="1:10" ht="15.9" customHeight="1" x14ac:dyDescent="0.3">
      <c r="A50" s="170" t="s">
        <v>488</v>
      </c>
      <c r="B50" s="178">
        <f>'PISO E TETO'!$M$26</f>
        <v>134.11000000000001</v>
      </c>
      <c r="C50" s="169" t="s">
        <v>205</v>
      </c>
      <c r="D50" s="176">
        <f>60+21</f>
        <v>81</v>
      </c>
      <c r="E50" s="127" t="s">
        <v>170</v>
      </c>
      <c r="F50" s="168" t="s">
        <v>169</v>
      </c>
      <c r="G50" s="125">
        <f t="shared" si="3"/>
        <v>11949.201000000003</v>
      </c>
      <c r="H50" s="131"/>
    </row>
    <row r="51" spans="1:10" ht="15.9" customHeight="1" x14ac:dyDescent="0.3">
      <c r="A51" s="170" t="s">
        <v>396</v>
      </c>
      <c r="B51" s="178">
        <f>'PISO E TETO'!$M$30</f>
        <v>2328.2100000000005</v>
      </c>
      <c r="C51" s="169" t="s">
        <v>205</v>
      </c>
      <c r="D51" s="176">
        <v>150</v>
      </c>
      <c r="E51" s="127" t="s">
        <v>170</v>
      </c>
      <c r="F51" s="168" t="s">
        <v>169</v>
      </c>
      <c r="G51" s="125">
        <f t="shared" si="3"/>
        <v>384154.65000000008</v>
      </c>
      <c r="H51" s="131"/>
    </row>
    <row r="52" spans="1:10" ht="15.9" customHeight="1" x14ac:dyDescent="0.3">
      <c r="A52" s="170" t="s">
        <v>397</v>
      </c>
      <c r="B52" s="178">
        <f>'PISO E TETO'!$M$29</f>
        <v>126.97999999999999</v>
      </c>
      <c r="C52" s="169" t="s">
        <v>205</v>
      </c>
      <c r="D52" s="176">
        <f>D51</f>
        <v>150</v>
      </c>
      <c r="E52" s="127" t="s">
        <v>170</v>
      </c>
      <c r="F52" s="168" t="s">
        <v>169</v>
      </c>
      <c r="G52" s="125">
        <f t="shared" si="3"/>
        <v>20951.7</v>
      </c>
      <c r="H52" s="131">
        <f>G52/B52</f>
        <v>165.00000000000003</v>
      </c>
    </row>
    <row r="53" spans="1:10" ht="15.9" customHeight="1" x14ac:dyDescent="0.3">
      <c r="A53" s="170" t="s">
        <v>489</v>
      </c>
      <c r="B53" s="178">
        <f>'PISO E TETO'!$M$32</f>
        <v>96.22</v>
      </c>
      <c r="C53" s="169" t="s">
        <v>205</v>
      </c>
      <c r="D53" s="176">
        <f>768+40</f>
        <v>808</v>
      </c>
      <c r="E53" s="127" t="s">
        <v>170</v>
      </c>
      <c r="F53" s="168" t="s">
        <v>169</v>
      </c>
      <c r="G53" s="125">
        <f t="shared" si="3"/>
        <v>85520.335999999996</v>
      </c>
      <c r="H53" s="131">
        <f>G53/B53</f>
        <v>888.8</v>
      </c>
      <c r="I53" s="115">
        <f>B53*(245+45)*1.1</f>
        <v>30694.18</v>
      </c>
      <c r="J53" s="1">
        <f>I53/B53</f>
        <v>319</v>
      </c>
    </row>
    <row r="54" spans="1:10" ht="15.9" customHeight="1" x14ac:dyDescent="0.3">
      <c r="A54" s="170" t="s">
        <v>490</v>
      </c>
      <c r="B54" s="178">
        <f>'PISO E TETO'!$M$31</f>
        <v>7.41</v>
      </c>
      <c r="C54" s="169" t="s">
        <v>205</v>
      </c>
      <c r="D54" s="176">
        <f>985.2</f>
        <v>985.2</v>
      </c>
      <c r="E54" s="127" t="s">
        <v>170</v>
      </c>
      <c r="F54" s="168" t="s">
        <v>169</v>
      </c>
      <c r="G54" s="125">
        <f t="shared" si="3"/>
        <v>8030.3652000000011</v>
      </c>
      <c r="H54" s="131"/>
    </row>
    <row r="55" spans="1:10" ht="15.9" customHeight="1" x14ac:dyDescent="0.3">
      <c r="A55" s="180" t="s">
        <v>204</v>
      </c>
      <c r="B55" s="246">
        <v>1</v>
      </c>
      <c r="C55" s="169" t="s">
        <v>27</v>
      </c>
      <c r="D55" s="176">
        <v>20</v>
      </c>
      <c r="E55" s="127" t="s">
        <v>6</v>
      </c>
      <c r="F55" s="168" t="s">
        <v>169</v>
      </c>
      <c r="G55" s="125">
        <f>D55*DADOS_INICIAIS!$E$9*1.1</f>
        <v>289251.16000000009</v>
      </c>
      <c r="H55" s="206"/>
    </row>
    <row r="56" spans="1:10" ht="15.9" customHeight="1" x14ac:dyDescent="0.3">
      <c r="A56" s="179" t="s">
        <v>203</v>
      </c>
      <c r="B56" s="246">
        <v>1</v>
      </c>
      <c r="C56" s="169" t="s">
        <v>27</v>
      </c>
      <c r="D56" s="176">
        <v>15</v>
      </c>
      <c r="E56" s="127" t="s">
        <v>6</v>
      </c>
      <c r="F56" s="168" t="s">
        <v>169</v>
      </c>
      <c r="G56" s="125">
        <f>D56*DADOS_INICIAIS!$E$9*1.1</f>
        <v>216938.37000000002</v>
      </c>
      <c r="H56" s="131"/>
      <c r="J56" s="115"/>
    </row>
    <row r="57" spans="1:10" ht="15.9" customHeight="1" x14ac:dyDescent="0.3">
      <c r="A57" s="177" t="s">
        <v>202</v>
      </c>
      <c r="B57" s="245">
        <f>Orçamento!D78+Orçamento!D79</f>
        <v>3691.46</v>
      </c>
      <c r="C57" s="169" t="s">
        <v>205</v>
      </c>
      <c r="D57" s="176">
        <f>75+45</f>
        <v>120</v>
      </c>
      <c r="E57" s="127" t="s">
        <v>6</v>
      </c>
      <c r="F57" s="168" t="s">
        <v>169</v>
      </c>
      <c r="G57" s="125">
        <f>D57*B57*1.1</f>
        <v>487272.72000000003</v>
      </c>
      <c r="H57" s="123"/>
      <c r="I57" s="1">
        <f>G57/D48</f>
        <v>3745.3706379707919</v>
      </c>
      <c r="J57" s="115"/>
    </row>
    <row r="58" spans="1:10" ht="15.9" customHeight="1" x14ac:dyDescent="0.3">
      <c r="A58" s="335"/>
      <c r="B58" s="334"/>
      <c r="C58" s="334"/>
      <c r="D58" s="334"/>
      <c r="E58" s="334"/>
      <c r="F58" s="334"/>
      <c r="G58" s="175">
        <f>SUM(G47:G57)</f>
        <v>2452107.2642000001</v>
      </c>
      <c r="H58" s="121">
        <f>G58/DADOS_INICIAIS!$E$9</f>
        <v>186.50352106591379</v>
      </c>
    </row>
    <row r="59" spans="1:10" ht="15.9" customHeight="1" x14ac:dyDescent="0.3">
      <c r="A59" s="336"/>
      <c r="B59" s="337"/>
      <c r="C59" s="337"/>
      <c r="D59" s="337"/>
      <c r="E59" s="337"/>
      <c r="F59" s="337"/>
      <c r="G59" s="167"/>
      <c r="H59" s="118"/>
    </row>
    <row r="60" spans="1:10" ht="15.9" customHeight="1" x14ac:dyDescent="0.3">
      <c r="A60" s="120"/>
      <c r="B60" s="119"/>
      <c r="C60" s="119"/>
      <c r="D60" s="119"/>
      <c r="E60" s="119"/>
      <c r="F60" s="119"/>
      <c r="G60" s="167"/>
      <c r="H60" s="118"/>
    </row>
    <row r="61" spans="1:10" x14ac:dyDescent="0.3">
      <c r="A61" s="334" t="s">
        <v>201</v>
      </c>
      <c r="B61" s="334"/>
      <c r="C61" s="334"/>
      <c r="D61" s="334"/>
      <c r="E61" s="334"/>
      <c r="F61" s="334"/>
      <c r="G61" s="117">
        <f>G26</f>
        <v>2480042.8642000002</v>
      </c>
      <c r="H61" s="116">
        <f>G61/DADOS_INICIAIS!E9</f>
        <v>188.62825999522354</v>
      </c>
    </row>
    <row r="63" spans="1:10" ht="14.4" x14ac:dyDescent="0.3">
      <c r="B63"/>
      <c r="C63"/>
      <c r="D63"/>
      <c r="E63"/>
      <c r="F63"/>
      <c r="G63"/>
      <c r="H63" s="174">
        <f>H61/1.1</f>
        <v>171.48023635929411</v>
      </c>
    </row>
    <row r="64" spans="1:10" ht="14.4" x14ac:dyDescent="0.3">
      <c r="A64" s="196"/>
      <c r="B64" s="115"/>
      <c r="D64"/>
      <c r="E64"/>
      <c r="F64"/>
      <c r="G64"/>
      <c r="H64" s="113"/>
    </row>
    <row r="65" spans="1:12" x14ac:dyDescent="0.3">
      <c r="A65" s="144" t="s">
        <v>517</v>
      </c>
      <c r="B65" s="143"/>
      <c r="C65" s="142"/>
      <c r="D65" s="141"/>
      <c r="E65" s="140"/>
      <c r="F65" s="140"/>
      <c r="G65" s="140"/>
      <c r="H65" s="139"/>
    </row>
    <row r="66" spans="1:12" ht="15.9" customHeight="1" x14ac:dyDescent="0.3">
      <c r="A66" s="138"/>
      <c r="B66" s="137"/>
      <c r="C66" s="136"/>
      <c r="D66" s="135"/>
      <c r="E66" s="135"/>
      <c r="F66" s="135"/>
      <c r="H66" s="131"/>
    </row>
    <row r="67" spans="1:12" ht="15.9" customHeight="1" x14ac:dyDescent="0.3">
      <c r="A67" s="134" t="s">
        <v>14</v>
      </c>
      <c r="B67" s="324" t="s">
        <v>18</v>
      </c>
      <c r="C67" s="325"/>
      <c r="D67" s="326" t="s">
        <v>5</v>
      </c>
      <c r="E67" s="327"/>
      <c r="F67" s="133" t="s">
        <v>182</v>
      </c>
      <c r="G67" s="132" t="s">
        <v>16</v>
      </c>
      <c r="H67" s="206"/>
      <c r="I67" s="2"/>
    </row>
    <row r="68" spans="1:12" ht="15.9" customHeight="1" x14ac:dyDescent="0.3">
      <c r="A68" s="170" t="s">
        <v>207</v>
      </c>
      <c r="B68" s="178">
        <f>'PISO E TETO'!$M$27</f>
        <v>4938.989999999998</v>
      </c>
      <c r="C68" s="169" t="s">
        <v>205</v>
      </c>
      <c r="D68" s="176">
        <f>125+45</f>
        <v>170</v>
      </c>
      <c r="E68" s="127" t="s">
        <v>170</v>
      </c>
      <c r="F68" s="168" t="s">
        <v>169</v>
      </c>
      <c r="G68" s="125">
        <f>+D68*B68*1.1</f>
        <v>923591.12999999977</v>
      </c>
      <c r="H68" s="131"/>
      <c r="J68" s="115"/>
      <c r="K68" s="115"/>
    </row>
    <row r="69" spans="1:12" ht="15.9" customHeight="1" x14ac:dyDescent="0.3">
      <c r="A69" s="170" t="s">
        <v>487</v>
      </c>
      <c r="B69" s="178">
        <f>'PISO E TETO'!$M$28</f>
        <v>27.2</v>
      </c>
      <c r="C69" s="169" t="s">
        <v>205</v>
      </c>
      <c r="D69" s="176">
        <f>85.1+45</f>
        <v>130.1</v>
      </c>
      <c r="E69" s="127" t="s">
        <v>170</v>
      </c>
      <c r="F69" s="168" t="s">
        <v>169</v>
      </c>
      <c r="G69" s="125">
        <f>+D69*B69*1.1</f>
        <v>3892.5920000000001</v>
      </c>
      <c r="H69" s="131"/>
      <c r="J69" s="115"/>
      <c r="K69" s="115"/>
    </row>
    <row r="70" spans="1:12" ht="15.9" customHeight="1" x14ac:dyDescent="0.3">
      <c r="A70" s="180" t="s">
        <v>206</v>
      </c>
      <c r="B70" s="178">
        <f>'PISO E TETO'!$M$33</f>
        <v>54.960000000000008</v>
      </c>
      <c r="C70" s="169" t="s">
        <v>205</v>
      </c>
      <c r="D70" s="176">
        <f>290+50</f>
        <v>340</v>
      </c>
      <c r="E70" s="127" t="s">
        <v>170</v>
      </c>
      <c r="F70" s="168" t="s">
        <v>169</v>
      </c>
      <c r="G70" s="125">
        <f t="shared" ref="G70:G75" si="4">+D70*B70*1.1</f>
        <v>20555.040000000005</v>
      </c>
      <c r="H70" s="131"/>
      <c r="J70" s="115"/>
    </row>
    <row r="71" spans="1:12" ht="15.9" customHeight="1" x14ac:dyDescent="0.3">
      <c r="A71" s="170" t="s">
        <v>488</v>
      </c>
      <c r="B71" s="178">
        <f>'PISO E TETO'!$M$26</f>
        <v>134.11000000000001</v>
      </c>
      <c r="C71" s="169" t="s">
        <v>205</v>
      </c>
      <c r="D71" s="176">
        <f>60+21</f>
        <v>81</v>
      </c>
      <c r="E71" s="127" t="s">
        <v>170</v>
      </c>
      <c r="F71" s="168" t="s">
        <v>169</v>
      </c>
      <c r="G71" s="125">
        <f t="shared" si="4"/>
        <v>11949.201000000003</v>
      </c>
      <c r="H71" s="131"/>
    </row>
    <row r="72" spans="1:12" ht="15.9" customHeight="1" x14ac:dyDescent="0.3">
      <c r="A72" s="170" t="s">
        <v>396</v>
      </c>
      <c r="B72" s="178">
        <f>'PISO E TETO'!$M$30</f>
        <v>2328.2100000000005</v>
      </c>
      <c r="C72" s="169" t="s">
        <v>205</v>
      </c>
      <c r="D72" s="176">
        <v>150</v>
      </c>
      <c r="E72" s="127" t="s">
        <v>170</v>
      </c>
      <c r="F72" s="168" t="s">
        <v>169</v>
      </c>
      <c r="G72" s="125">
        <f t="shared" si="4"/>
        <v>384154.65000000008</v>
      </c>
      <c r="H72" s="131"/>
    </row>
    <row r="73" spans="1:12" ht="15.9" customHeight="1" x14ac:dyDescent="0.3">
      <c r="A73" s="170" t="s">
        <v>397</v>
      </c>
      <c r="B73" s="178">
        <f>'PISO E TETO'!$M$29</f>
        <v>126.97999999999999</v>
      </c>
      <c r="C73" s="169" t="s">
        <v>205</v>
      </c>
      <c r="D73" s="176">
        <f>D72</f>
        <v>150</v>
      </c>
      <c r="E73" s="127" t="s">
        <v>170</v>
      </c>
      <c r="F73" s="168" t="s">
        <v>169</v>
      </c>
      <c r="G73" s="125">
        <f t="shared" si="4"/>
        <v>20951.7</v>
      </c>
      <c r="H73" s="131">
        <f>G73/B73</f>
        <v>165.00000000000003</v>
      </c>
    </row>
    <row r="74" spans="1:12" ht="15.9" customHeight="1" x14ac:dyDescent="0.3">
      <c r="A74" s="170" t="s">
        <v>516</v>
      </c>
      <c r="B74" s="178">
        <f>'PISO E TETO'!$M$32</f>
        <v>96.22</v>
      </c>
      <c r="C74" s="169" t="s">
        <v>205</v>
      </c>
      <c r="D74" s="176">
        <f>250+45</f>
        <v>295</v>
      </c>
      <c r="E74" s="127" t="s">
        <v>170</v>
      </c>
      <c r="F74" s="168" t="s">
        <v>169</v>
      </c>
      <c r="G74" s="125">
        <f t="shared" si="4"/>
        <v>31223.390000000003</v>
      </c>
      <c r="H74" s="131">
        <f>G74/B74</f>
        <v>324.50000000000006</v>
      </c>
      <c r="I74" s="115">
        <f>B74*(245+45)*1.1</f>
        <v>30694.18</v>
      </c>
      <c r="J74" s="1">
        <f>I74/B74</f>
        <v>319</v>
      </c>
    </row>
    <row r="75" spans="1:12" ht="15.9" customHeight="1" x14ac:dyDescent="0.3">
      <c r="A75" s="170" t="s">
        <v>490</v>
      </c>
      <c r="B75" s="178">
        <f>'PISO E TETO'!$M$31</f>
        <v>7.41</v>
      </c>
      <c r="C75" s="169" t="s">
        <v>205</v>
      </c>
      <c r="D75" s="176">
        <f>985.2</f>
        <v>985.2</v>
      </c>
      <c r="E75" s="127" t="s">
        <v>170</v>
      </c>
      <c r="F75" s="168" t="s">
        <v>169</v>
      </c>
      <c r="G75" s="125">
        <f t="shared" si="4"/>
        <v>8030.3652000000011</v>
      </c>
      <c r="H75" s="131"/>
    </row>
    <row r="76" spans="1:12" ht="15.9" customHeight="1" x14ac:dyDescent="0.3">
      <c r="A76" s="180" t="s">
        <v>204</v>
      </c>
      <c r="B76" s="246">
        <v>1</v>
      </c>
      <c r="C76" s="169" t="s">
        <v>27</v>
      </c>
      <c r="D76" s="176">
        <v>20</v>
      </c>
      <c r="E76" s="127" t="s">
        <v>6</v>
      </c>
      <c r="F76" s="168" t="s">
        <v>169</v>
      </c>
      <c r="G76" s="125">
        <f>D76*DADOS_INICIAIS!$E$9*1.1*(1-0.07)</f>
        <v>269003.57880000008</v>
      </c>
      <c r="H76" s="206"/>
    </row>
    <row r="77" spans="1:12" ht="15.9" customHeight="1" x14ac:dyDescent="0.3">
      <c r="A77" s="179" t="s">
        <v>203</v>
      </c>
      <c r="B77" s="246">
        <v>1</v>
      </c>
      <c r="C77" s="169" t="s">
        <v>27</v>
      </c>
      <c r="D77" s="176">
        <v>15</v>
      </c>
      <c r="E77" s="127" t="s">
        <v>6</v>
      </c>
      <c r="F77" s="168" t="s">
        <v>169</v>
      </c>
      <c r="G77" s="125">
        <f>D77*DADOS_INICIAIS!$E$9*1.1</f>
        <v>216938.37000000002</v>
      </c>
      <c r="H77" s="131"/>
      <c r="J77" s="115"/>
      <c r="K77" s="1">
        <f>59.9/2.4</f>
        <v>24.958333333333332</v>
      </c>
    </row>
    <row r="78" spans="1:12" ht="15.9" customHeight="1" x14ac:dyDescent="0.3">
      <c r="A78" s="177" t="s">
        <v>202</v>
      </c>
      <c r="B78" s="245">
        <f>Orçamento!D78+Orçamento!D79</f>
        <v>3691.46</v>
      </c>
      <c r="C78" s="169" t="s">
        <v>205</v>
      </c>
      <c r="D78" s="176">
        <f>75+45</f>
        <v>120</v>
      </c>
      <c r="E78" s="127" t="s">
        <v>6</v>
      </c>
      <c r="F78" s="168" t="s">
        <v>169</v>
      </c>
      <c r="G78" s="125">
        <f>D78*B78*1.1</f>
        <v>487272.72000000003</v>
      </c>
      <c r="H78" s="123"/>
      <c r="I78" s="1">
        <f>G78/D69</f>
        <v>3745.3706379707919</v>
      </c>
      <c r="J78" s="115"/>
      <c r="K78" s="1">
        <f>53.8/2</f>
        <v>26.9</v>
      </c>
      <c r="L78" s="1">
        <f>K78-K77</f>
        <v>1.9416666666666664</v>
      </c>
    </row>
    <row r="79" spans="1:12" ht="15.9" customHeight="1" x14ac:dyDescent="0.3">
      <c r="A79" s="335"/>
      <c r="B79" s="334"/>
      <c r="C79" s="334"/>
      <c r="D79" s="334"/>
      <c r="E79" s="334"/>
      <c r="F79" s="334"/>
      <c r="G79" s="175">
        <f>SUM(G68:G78)</f>
        <v>2377562.7370000002</v>
      </c>
      <c r="H79" s="121">
        <f>G79/DADOS_INICIAIS!$E$9</f>
        <v>180.83377855425022</v>
      </c>
      <c r="L79" s="289">
        <f>L78/K78</f>
        <v>7.2180916976456011E-2</v>
      </c>
    </row>
    <row r="80" spans="1:12" ht="14.4" x14ac:dyDescent="0.3">
      <c r="C80"/>
      <c r="D80"/>
      <c r="E80"/>
      <c r="F80"/>
      <c r="G80"/>
      <c r="H80"/>
    </row>
    <row r="81" spans="2:8" ht="14.4" x14ac:dyDescent="0.3">
      <c r="C81" s="288">
        <f>Orçamento!D78+Orçamento!D79</f>
        <v>3691.46</v>
      </c>
      <c r="D81">
        <f>68.56+45</f>
        <v>113.56</v>
      </c>
      <c r="E81"/>
      <c r="F81"/>
      <c r="G81">
        <f>D81*C81</f>
        <v>419202.19760000001</v>
      </c>
      <c r="H81"/>
    </row>
    <row r="82" spans="2:8" ht="14.4" x14ac:dyDescent="0.3">
      <c r="C82"/>
      <c r="D82"/>
      <c r="E82"/>
      <c r="F82"/>
      <c r="G82"/>
      <c r="H82"/>
    </row>
    <row r="83" spans="2:8" ht="14.4" x14ac:dyDescent="0.3">
      <c r="C83"/>
      <c r="D83"/>
      <c r="E83"/>
      <c r="F83"/>
      <c r="G83"/>
      <c r="H83"/>
    </row>
    <row r="84" spans="2:8" ht="14.4" x14ac:dyDescent="0.3">
      <c r="C84"/>
      <c r="D84"/>
      <c r="E84"/>
      <c r="F84"/>
      <c r="G84"/>
      <c r="H84"/>
    </row>
    <row r="85" spans="2:8" ht="14.4" x14ac:dyDescent="0.3">
      <c r="C85"/>
      <c r="D85"/>
      <c r="E85"/>
      <c r="F85"/>
      <c r="G85"/>
      <c r="H85"/>
    </row>
    <row r="86" spans="2:8" ht="14.4" x14ac:dyDescent="0.3">
      <c r="C86"/>
      <c r="D86"/>
      <c r="E86"/>
      <c r="F86"/>
      <c r="G86"/>
      <c r="H86"/>
    </row>
    <row r="87" spans="2:8" ht="14.4" x14ac:dyDescent="0.3">
      <c r="C87"/>
      <c r="D87"/>
      <c r="E87"/>
      <c r="F87"/>
      <c r="G87"/>
      <c r="H87"/>
    </row>
    <row r="88" spans="2:8" ht="14.4" x14ac:dyDescent="0.3">
      <c r="B88"/>
      <c r="C88"/>
      <c r="D88"/>
      <c r="E88"/>
      <c r="F88"/>
      <c r="G88"/>
      <c r="H88"/>
    </row>
    <row r="89" spans="2:8" ht="14.4" x14ac:dyDescent="0.3">
      <c r="C89"/>
      <c r="D89"/>
      <c r="E89"/>
      <c r="F89"/>
      <c r="G89"/>
      <c r="H89"/>
    </row>
    <row r="90" spans="2:8" ht="14.4" x14ac:dyDescent="0.3">
      <c r="C90"/>
      <c r="D90"/>
      <c r="E90"/>
      <c r="F90"/>
      <c r="G90"/>
      <c r="H90"/>
    </row>
    <row r="91" spans="2:8" ht="14.4" x14ac:dyDescent="0.3">
      <c r="C91"/>
      <c r="D91"/>
      <c r="E91"/>
      <c r="F91"/>
      <c r="G91"/>
      <c r="H91"/>
    </row>
    <row r="92" spans="2:8" ht="14.4" x14ac:dyDescent="0.3">
      <c r="C92"/>
      <c r="D92"/>
      <c r="E92"/>
      <c r="F92"/>
      <c r="G92"/>
      <c r="H92"/>
    </row>
    <row r="93" spans="2:8" ht="14.4" x14ac:dyDescent="0.3">
      <c r="C93"/>
      <c r="D93"/>
      <c r="E93"/>
      <c r="F93"/>
      <c r="G93"/>
      <c r="H93"/>
    </row>
    <row r="94" spans="2:8" ht="14.4" x14ac:dyDescent="0.3">
      <c r="B94"/>
      <c r="C94"/>
      <c r="D94"/>
      <c r="E94"/>
      <c r="F94"/>
      <c r="G94"/>
      <c r="H94"/>
    </row>
    <row r="95" spans="2:8" ht="14.4" x14ac:dyDescent="0.3">
      <c r="C95"/>
      <c r="D95"/>
      <c r="E95"/>
      <c r="F95"/>
      <c r="G95"/>
      <c r="H95"/>
    </row>
    <row r="96" spans="2:8" ht="14.4" x14ac:dyDescent="0.3">
      <c r="C96"/>
      <c r="D96"/>
      <c r="E96"/>
      <c r="F96"/>
      <c r="G96"/>
      <c r="H96"/>
    </row>
    <row r="97" spans="2:8" ht="14.4" x14ac:dyDescent="0.3">
      <c r="C97"/>
      <c r="D97"/>
      <c r="E97"/>
      <c r="F97"/>
      <c r="G97"/>
      <c r="H97"/>
    </row>
    <row r="98" spans="2:8" ht="14.4" x14ac:dyDescent="0.3">
      <c r="C98"/>
      <c r="D98"/>
      <c r="E98"/>
      <c r="F98"/>
      <c r="G98"/>
      <c r="H98"/>
    </row>
    <row r="99" spans="2:8" ht="14.4" x14ac:dyDescent="0.3">
      <c r="B99"/>
      <c r="C99"/>
      <c r="D99"/>
      <c r="E99"/>
      <c r="F99"/>
      <c r="G99"/>
      <c r="H99"/>
    </row>
    <row r="100" spans="2:8" ht="14.4" x14ac:dyDescent="0.3">
      <c r="C100"/>
      <c r="D100"/>
      <c r="E100"/>
      <c r="F100"/>
      <c r="G100"/>
      <c r="H100"/>
    </row>
    <row r="101" spans="2:8" ht="14.4" x14ac:dyDescent="0.3">
      <c r="B101"/>
      <c r="C101"/>
      <c r="D101"/>
      <c r="E101"/>
      <c r="F101"/>
      <c r="G101"/>
      <c r="H101"/>
    </row>
    <row r="102" spans="2:8" ht="14.4" x14ac:dyDescent="0.3">
      <c r="C102"/>
      <c r="D102"/>
      <c r="E102"/>
      <c r="F102"/>
      <c r="G102"/>
      <c r="H102"/>
    </row>
    <row r="103" spans="2:8" ht="14.4" x14ac:dyDescent="0.3">
      <c r="C103"/>
      <c r="D103"/>
      <c r="E103"/>
      <c r="F103"/>
      <c r="G103"/>
      <c r="H103"/>
    </row>
    <row r="104" spans="2:8" ht="14.4" x14ac:dyDescent="0.3">
      <c r="C104"/>
      <c r="D104"/>
      <c r="E104"/>
      <c r="F104"/>
      <c r="G104"/>
      <c r="H104"/>
    </row>
    <row r="105" spans="2:8" ht="14.4" x14ac:dyDescent="0.3">
      <c r="C105"/>
      <c r="D105"/>
      <c r="E105"/>
      <c r="F105"/>
      <c r="G105"/>
      <c r="H105"/>
    </row>
    <row r="106" spans="2:8" ht="14.4" x14ac:dyDescent="0.3">
      <c r="B106"/>
      <c r="C106"/>
      <c r="D106"/>
      <c r="E106"/>
      <c r="F106"/>
      <c r="G106"/>
      <c r="H106"/>
    </row>
    <row r="107" spans="2:8" ht="14.4" x14ac:dyDescent="0.3">
      <c r="C107"/>
      <c r="D107"/>
      <c r="E107"/>
      <c r="F107"/>
      <c r="G107"/>
      <c r="H107"/>
    </row>
    <row r="108" spans="2:8" ht="14.4" x14ac:dyDescent="0.3">
      <c r="C108"/>
      <c r="D108"/>
      <c r="E108"/>
      <c r="F108"/>
      <c r="G108"/>
      <c r="H108"/>
    </row>
    <row r="109" spans="2:8" ht="14.4" x14ac:dyDescent="0.3">
      <c r="C109"/>
      <c r="D109"/>
      <c r="E109"/>
      <c r="F109"/>
      <c r="G109"/>
      <c r="H109"/>
    </row>
    <row r="110" spans="2:8" ht="14.4" x14ac:dyDescent="0.3">
      <c r="C110"/>
      <c r="D110"/>
      <c r="E110"/>
      <c r="F110"/>
      <c r="G110"/>
      <c r="H110"/>
    </row>
    <row r="111" spans="2:8" ht="14.4" x14ac:dyDescent="0.3">
      <c r="B111"/>
      <c r="C111"/>
      <c r="D111"/>
      <c r="E111"/>
      <c r="F111"/>
      <c r="G111"/>
      <c r="H111"/>
    </row>
    <row r="112" spans="2:8" ht="14.4" x14ac:dyDescent="0.3">
      <c r="C112"/>
      <c r="D112"/>
      <c r="E112"/>
      <c r="F112"/>
      <c r="G112"/>
      <c r="H112"/>
    </row>
    <row r="113" spans="3:8" ht="14.4" x14ac:dyDescent="0.3">
      <c r="C113"/>
      <c r="D113"/>
      <c r="E113"/>
      <c r="F113"/>
      <c r="G113"/>
      <c r="H113"/>
    </row>
    <row r="114" spans="3:8" ht="14.4" x14ac:dyDescent="0.3">
      <c r="C114"/>
      <c r="D114"/>
      <c r="E114"/>
      <c r="F114"/>
      <c r="G114"/>
      <c r="H114"/>
    </row>
    <row r="115" spans="3:8" ht="14.4" x14ac:dyDescent="0.3">
      <c r="C115"/>
      <c r="D115"/>
      <c r="E115"/>
      <c r="F115"/>
      <c r="G115"/>
      <c r="H115"/>
    </row>
    <row r="116" spans="3:8" ht="14.4" x14ac:dyDescent="0.3">
      <c r="C116"/>
      <c r="D116"/>
      <c r="E116"/>
      <c r="F116"/>
      <c r="G116"/>
      <c r="H116"/>
    </row>
  </sheetData>
  <mergeCells count="17">
    <mergeCell ref="B67:C67"/>
    <mergeCell ref="D67:E67"/>
    <mergeCell ref="A79:F79"/>
    <mergeCell ref="A61:F61"/>
    <mergeCell ref="A27:F27"/>
    <mergeCell ref="A42:F42"/>
    <mergeCell ref="A43:F43"/>
    <mergeCell ref="B46:C46"/>
    <mergeCell ref="D46:E46"/>
    <mergeCell ref="A58:F58"/>
    <mergeCell ref="A59:F59"/>
    <mergeCell ref="A26:F26"/>
    <mergeCell ref="A2:A4"/>
    <mergeCell ref="B14:C14"/>
    <mergeCell ref="D14:E14"/>
    <mergeCell ref="B30:C30"/>
    <mergeCell ref="D30:E3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31"/>
  <sheetViews>
    <sheetView showGridLines="0" topLeftCell="A5" zoomScale="80" zoomScaleNormal="80" zoomScaleSheetLayoutView="95" workbookViewId="0">
      <selection activeCell="F14" sqref="F14"/>
    </sheetView>
  </sheetViews>
  <sheetFormatPr defaultColWidth="9.109375" defaultRowHeight="14.4" x14ac:dyDescent="0.3"/>
  <cols>
    <col min="1" max="1" width="50.109375" style="55" customWidth="1"/>
    <col min="2" max="2" width="21.6640625" style="55" customWidth="1"/>
    <col min="3" max="3" width="26.5546875" style="55" customWidth="1"/>
    <col min="4" max="4" width="16.5546875" style="81" customWidth="1"/>
    <col min="5" max="5" width="19.5546875" style="82" customWidth="1"/>
    <col min="6" max="6" width="20.88671875" style="55" customWidth="1"/>
    <col min="7" max="7" width="23.5546875" style="55" customWidth="1"/>
    <col min="8" max="8" width="58.33203125" style="55" customWidth="1"/>
    <col min="9" max="9" width="11.33203125" style="55" customWidth="1"/>
    <col min="10" max="10" width="18" style="55" customWidth="1"/>
    <col min="11" max="11" width="11" style="55" bestFit="1" customWidth="1"/>
    <col min="12" max="12" width="11.33203125" style="55" bestFit="1" customWidth="1"/>
    <col min="13" max="13" width="9.109375" style="55"/>
    <col min="14" max="15" width="11" style="55" bestFit="1" customWidth="1"/>
    <col min="16" max="16384" width="9.109375" style="55"/>
  </cols>
  <sheetData>
    <row r="1" spans="1:12" x14ac:dyDescent="0.3">
      <c r="D1" s="79"/>
      <c r="E1" s="55"/>
      <c r="H1" s="80"/>
      <c r="I1" s="80"/>
      <c r="J1" s="79"/>
    </row>
    <row r="3" spans="1:12" ht="26.4" x14ac:dyDescent="0.3">
      <c r="A3" s="297" t="s">
        <v>318</v>
      </c>
      <c r="B3" s="305"/>
      <c r="C3" s="305"/>
      <c r="D3" s="298"/>
      <c r="E3" s="298"/>
      <c r="F3" s="298"/>
      <c r="G3" s="298"/>
      <c r="H3" s="299"/>
      <c r="J3" s="79"/>
    </row>
    <row r="4" spans="1:12" ht="19.8" x14ac:dyDescent="0.3">
      <c r="A4" s="185" t="s">
        <v>185</v>
      </c>
      <c r="B4" s="191">
        <v>45457</v>
      </c>
      <c r="C4" s="189"/>
      <c r="D4" s="189"/>
      <c r="E4" s="189"/>
      <c r="F4" s="189"/>
      <c r="G4" s="189"/>
      <c r="H4" s="190"/>
      <c r="J4" s="79"/>
    </row>
    <row r="5" spans="1:12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2" ht="20.399999999999999" x14ac:dyDescent="0.3">
      <c r="A6" s="83"/>
      <c r="B6" s="83"/>
      <c r="C6" s="83"/>
      <c r="D6" s="83"/>
      <c r="E6" s="83"/>
      <c r="F6" s="84"/>
      <c r="G6" s="85"/>
      <c r="H6" s="85"/>
      <c r="J6" s="79"/>
    </row>
    <row r="7" spans="1:12" ht="20.399999999999999" x14ac:dyDescent="0.3">
      <c r="A7" s="52" t="s">
        <v>183</v>
      </c>
      <c r="B7" s="52"/>
      <c r="C7" s="52"/>
      <c r="D7" s="53"/>
      <c r="E7" s="53"/>
      <c r="F7" s="54"/>
      <c r="G7" s="53"/>
      <c r="H7" s="53"/>
    </row>
    <row r="8" spans="1:12" ht="20.399999999999999" x14ac:dyDescent="0.3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65" t="s">
        <v>118</v>
      </c>
      <c r="G9" s="71" t="s">
        <v>16</v>
      </c>
      <c r="H9" s="90" t="s">
        <v>298</v>
      </c>
    </row>
    <row r="10" spans="1:12" ht="20.399999999999999" x14ac:dyDescent="0.3">
      <c r="A10" s="66" t="s">
        <v>211</v>
      </c>
      <c r="B10" s="62">
        <v>110</v>
      </c>
      <c r="C10" s="62" t="s">
        <v>170</v>
      </c>
      <c r="D10" s="67">
        <f>'PISO E TETO'!M23*0.1</f>
        <v>248.54400000000001</v>
      </c>
      <c r="E10" s="67" t="s">
        <v>2</v>
      </c>
      <c r="F10" s="88">
        <f>80+40</f>
        <v>120</v>
      </c>
      <c r="G10" s="89">
        <f t="shared" ref="G10:G15" si="0">F10*D10*1.1</f>
        <v>32807.808000000005</v>
      </c>
      <c r="H10" s="67">
        <f>ALVENARIA!D13*2-'Rev. Fachada'!B15</f>
        <v>35425.930000000008</v>
      </c>
      <c r="I10" s="55">
        <f>G10/D10</f>
        <v>132</v>
      </c>
    </row>
    <row r="11" spans="1:12" ht="20.399999999999999" x14ac:dyDescent="0.3">
      <c r="A11" s="78" t="s">
        <v>210</v>
      </c>
      <c r="B11" s="62">
        <v>65</v>
      </c>
      <c r="C11" s="62" t="s">
        <v>170</v>
      </c>
      <c r="D11" s="67">
        <f>'PISO E TETO'!M25</f>
        <v>500.98399999999987</v>
      </c>
      <c r="E11" s="67" t="s">
        <v>2</v>
      </c>
      <c r="F11" s="88">
        <f>65</f>
        <v>65</v>
      </c>
      <c r="G11" s="89">
        <f t="shared" si="0"/>
        <v>35820.355999999992</v>
      </c>
      <c r="H11" s="67">
        <f>H10*0.8+TETO!D10</f>
        <v>36311.564000000006</v>
      </c>
      <c r="I11" s="55">
        <f>1+1.5+15+35</f>
        <v>52.5</v>
      </c>
    </row>
    <row r="12" spans="1:12" ht="20.399999999999999" x14ac:dyDescent="0.3">
      <c r="A12" s="78" t="s">
        <v>209</v>
      </c>
      <c r="B12" s="62">
        <v>25</v>
      </c>
      <c r="C12" s="62" t="s">
        <v>6</v>
      </c>
      <c r="D12" s="67">
        <f>('Rev. Internos Piso e Parede'!B22-'Acabamentos de Piso e Parede'!B78)*0.3</f>
        <v>9520.3410000000022</v>
      </c>
      <c r="E12" s="67" t="s">
        <v>2</v>
      </c>
      <c r="F12" s="88">
        <f>1.5727+6.3758+27</f>
        <v>34.948500000000003</v>
      </c>
      <c r="G12" s="89">
        <f t="shared" si="0"/>
        <v>365993.80118235014</v>
      </c>
      <c r="H12" s="67">
        <f>H10*0.2+TETO!D12</f>
        <v>10195.812000000002</v>
      </c>
      <c r="I12" s="55">
        <f>1-I15</f>
        <v>0.33333333333333337</v>
      </c>
      <c r="J12" s="194">
        <f>I12*G15</f>
        <v>406439.62649495347</v>
      </c>
    </row>
    <row r="13" spans="1:12" ht="20.399999999999999" x14ac:dyDescent="0.3">
      <c r="A13" s="78" t="s">
        <v>820</v>
      </c>
      <c r="B13" s="62">
        <v>25</v>
      </c>
      <c r="C13" s="62" t="s">
        <v>6</v>
      </c>
      <c r="D13" s="67">
        <f>TETO!D21</f>
        <v>3110.6259999999993</v>
      </c>
      <c r="E13" s="67" t="s">
        <v>2</v>
      </c>
      <c r="F13" s="88">
        <f>F12</f>
        <v>34.948500000000003</v>
      </c>
      <c r="G13" s="89">
        <f t="shared" ref="G13" si="1">F13*D13*1.1</f>
        <v>119582.8840371</v>
      </c>
      <c r="H13" s="67">
        <f>H11*0.2+TETO!D14</f>
        <v>7262.3128000000015</v>
      </c>
      <c r="I13" s="55" t="e">
        <f>1-I16</f>
        <v>#REF!</v>
      </c>
      <c r="J13" s="194" t="e">
        <f>I13*G16</f>
        <v>#REF!</v>
      </c>
    </row>
    <row r="14" spans="1:12" ht="20.399999999999999" x14ac:dyDescent="0.3">
      <c r="A14" s="66" t="s">
        <v>819</v>
      </c>
      <c r="B14" s="62">
        <f>90*0.9</f>
        <v>81</v>
      </c>
      <c r="C14" s="62" t="s">
        <v>6</v>
      </c>
      <c r="D14" s="67">
        <f>TETO!D18</f>
        <v>7600.9199999999983</v>
      </c>
      <c r="E14" s="67" t="s">
        <v>2</v>
      </c>
      <c r="F14" s="88">
        <f>1.5727+4.8875+11.4392+32</f>
        <v>49.8994</v>
      </c>
      <c r="G14" s="89">
        <f t="shared" ref="G14" si="2">F14*D14*1.1</f>
        <v>417209.48219279997</v>
      </c>
      <c r="H14" s="67"/>
      <c r="I14" s="55">
        <f>35/I10</f>
        <v>0.26515151515151514</v>
      </c>
      <c r="J14" s="194">
        <f>I14*G14</f>
        <v>110623.72633899999</v>
      </c>
    </row>
    <row r="15" spans="1:12" ht="20.399999999999999" x14ac:dyDescent="0.3">
      <c r="A15" s="66" t="s">
        <v>208</v>
      </c>
      <c r="B15" s="62">
        <f>90*0.9</f>
        <v>81</v>
      </c>
      <c r="C15" s="62" t="s">
        <v>6</v>
      </c>
      <c r="D15" s="67">
        <f>('Rev. Internos Piso e Parede'!B22-'Acabamentos de Piso e Parede'!B78)*0.7</f>
        <v>22214.129000000004</v>
      </c>
      <c r="E15" s="67" t="s">
        <v>2</v>
      </c>
      <c r="F15" s="88">
        <f>F14</f>
        <v>49.8994</v>
      </c>
      <c r="G15" s="89">
        <f t="shared" si="0"/>
        <v>1219318.8794848602</v>
      </c>
      <c r="H15" s="67"/>
      <c r="I15" s="55">
        <f>35/I11</f>
        <v>0.66666666666666663</v>
      </c>
      <c r="J15" s="194">
        <f>I15*G15</f>
        <v>812879.25298990682</v>
      </c>
    </row>
    <row r="16" spans="1:12" ht="20.399999999999999" x14ac:dyDescent="0.3">
      <c r="A16" s="296" t="s">
        <v>17</v>
      </c>
      <c r="B16" s="296"/>
      <c r="C16" s="296"/>
      <c r="D16" s="296"/>
      <c r="E16" s="296"/>
      <c r="F16" s="296"/>
      <c r="G16" s="90">
        <f>SUM(G10:G15)</f>
        <v>2190733.2108971104</v>
      </c>
      <c r="H16" s="90"/>
      <c r="I16" s="55" t="e">
        <f>31/#REF!</f>
        <v>#REF!</v>
      </c>
      <c r="J16" s="194" t="e">
        <f>I16*G12</f>
        <v>#REF!</v>
      </c>
      <c r="K16" s="55">
        <f>4160+1440+1120+2880+4800+91680+4000</f>
        <v>110080</v>
      </c>
      <c r="L16" s="55">
        <f>K16/21</f>
        <v>5241.9047619047615</v>
      </c>
    </row>
    <row r="18" spans="1:8" ht="20.399999999999999" x14ac:dyDescent="0.3">
      <c r="A18" s="306" t="s">
        <v>219</v>
      </c>
      <c r="B18" s="307"/>
      <c r="C18" s="307"/>
      <c r="D18" s="307"/>
      <c r="E18" s="307"/>
      <c r="F18" s="308"/>
      <c r="G18" s="91">
        <f>G16</f>
        <v>2190733.2108971104</v>
      </c>
      <c r="H18" s="91">
        <f>G18/DADOS_INICIAIS!E9</f>
        <v>166.62381108423705</v>
      </c>
    </row>
    <row r="20" spans="1:8" x14ac:dyDescent="0.3">
      <c r="H20" s="194">
        <f>H18/1.1</f>
        <v>151.47619189476094</v>
      </c>
    </row>
    <row r="22" spans="1:8" ht="20.399999999999999" x14ac:dyDescent="0.3">
      <c r="A22" s="52" t="s">
        <v>183</v>
      </c>
      <c r="B22" s="52"/>
      <c r="C22" s="52"/>
      <c r="D22" s="53"/>
      <c r="E22" s="53"/>
      <c r="F22" s="54"/>
      <c r="G22" s="53"/>
      <c r="H22" s="53"/>
    </row>
    <row r="23" spans="1:8" ht="20.399999999999999" x14ac:dyDescent="0.3">
      <c r="A23" s="56"/>
      <c r="B23" s="56"/>
      <c r="C23" s="56"/>
      <c r="D23" s="57"/>
      <c r="E23" s="57"/>
      <c r="F23" s="58"/>
      <c r="G23" s="59"/>
      <c r="H23" s="59"/>
    </row>
    <row r="24" spans="1:8" ht="20.399999999999999" x14ac:dyDescent="0.3">
      <c r="A24" s="63" t="s">
        <v>14</v>
      </c>
      <c r="B24" s="301" t="s">
        <v>5</v>
      </c>
      <c r="C24" s="302"/>
      <c r="D24" s="301" t="s">
        <v>18</v>
      </c>
      <c r="E24" s="302"/>
      <c r="F24" s="65" t="s">
        <v>118</v>
      </c>
      <c r="G24" s="71" t="s">
        <v>16</v>
      </c>
      <c r="H24" s="90" t="s">
        <v>298</v>
      </c>
    </row>
    <row r="25" spans="1:8" ht="20.399999999999999" x14ac:dyDescent="0.3">
      <c r="A25" s="66" t="s">
        <v>211</v>
      </c>
      <c r="B25" s="62">
        <v>110</v>
      </c>
      <c r="C25" s="62" t="s">
        <v>170</v>
      </c>
      <c r="D25" s="67"/>
      <c r="E25" s="67" t="s">
        <v>2</v>
      </c>
      <c r="F25" s="88">
        <f>80+40</f>
        <v>120</v>
      </c>
      <c r="G25" s="89">
        <f t="shared" ref="G25:G30" si="3">F25*D25*1.1</f>
        <v>0</v>
      </c>
      <c r="H25" s="67">
        <f>ALVENARIA!D28*2-'Rev. Fachada'!B30</f>
        <v>21700.9856</v>
      </c>
    </row>
    <row r="26" spans="1:8" ht="20.399999999999999" x14ac:dyDescent="0.3">
      <c r="A26" s="78" t="s">
        <v>210</v>
      </c>
      <c r="B26" s="62">
        <v>65</v>
      </c>
      <c r="C26" s="62" t="s">
        <v>170</v>
      </c>
      <c r="D26" s="67">
        <v>500.98399999999987</v>
      </c>
      <c r="E26" s="67" t="s">
        <v>2</v>
      </c>
      <c r="F26" s="88">
        <f>65</f>
        <v>65</v>
      </c>
      <c r="G26" s="89">
        <f t="shared" si="3"/>
        <v>35820.355999999992</v>
      </c>
      <c r="H26" s="67">
        <f>H25*0.8+TETO!D26</f>
        <v>24961.708479999998</v>
      </c>
    </row>
    <row r="27" spans="1:8" ht="20.399999999999999" x14ac:dyDescent="0.3">
      <c r="A27" s="78" t="s">
        <v>209</v>
      </c>
      <c r="B27" s="62">
        <v>25</v>
      </c>
      <c r="C27" s="62" t="s">
        <v>6</v>
      </c>
      <c r="D27" s="67">
        <v>6346.8940000000021</v>
      </c>
      <c r="E27" s="67" t="s">
        <v>27</v>
      </c>
      <c r="F27" s="88">
        <f>1.5727+7.3758+31</f>
        <v>39.948499999999996</v>
      </c>
      <c r="G27" s="89">
        <f t="shared" si="3"/>
        <v>278903.78445490007</v>
      </c>
      <c r="H27" s="67">
        <f>H25*0.2+TETO!D28</f>
        <v>4710.0971199999994</v>
      </c>
    </row>
    <row r="28" spans="1:8" ht="20.399999999999999" x14ac:dyDescent="0.3">
      <c r="A28" s="78" t="s">
        <v>820</v>
      </c>
      <c r="B28" s="62">
        <v>25</v>
      </c>
      <c r="C28" s="62" t="s">
        <v>6</v>
      </c>
      <c r="D28" s="67">
        <v>3110.6259999999993</v>
      </c>
      <c r="E28" s="67" t="s">
        <v>2</v>
      </c>
      <c r="F28" s="88">
        <f>0.96+7.3758+31</f>
        <v>39.335799999999999</v>
      </c>
      <c r="G28" s="89">
        <f t="shared" si="3"/>
        <v>134594.85843187998</v>
      </c>
      <c r="H28" s="67">
        <f>H26*0.2+TETO!D29</f>
        <v>8102.9676959999988</v>
      </c>
    </row>
    <row r="29" spans="1:8" ht="20.399999999999999" x14ac:dyDescent="0.3">
      <c r="A29" s="66" t="s">
        <v>819</v>
      </c>
      <c r="B29" s="62">
        <f>90*0.9</f>
        <v>81</v>
      </c>
      <c r="C29" s="62" t="s">
        <v>6</v>
      </c>
      <c r="D29" s="67">
        <v>7600.9199999999983</v>
      </c>
      <c r="E29" s="67" t="s">
        <v>2</v>
      </c>
      <c r="F29" s="88">
        <f>1.5727+5.8875+14.4392+32</f>
        <v>53.8994</v>
      </c>
      <c r="G29" s="89">
        <f t="shared" si="3"/>
        <v>450653.53019279992</v>
      </c>
      <c r="H29" s="67"/>
    </row>
    <row r="30" spans="1:8" ht="20.399999999999999" x14ac:dyDescent="0.3">
      <c r="A30" s="66" t="s">
        <v>208</v>
      </c>
      <c r="B30" s="62">
        <f>90*0.9</f>
        <v>81</v>
      </c>
      <c r="C30" s="62" t="s">
        <v>6</v>
      </c>
      <c r="D30" s="67">
        <v>25387.576000000008</v>
      </c>
      <c r="E30" s="67" t="s">
        <v>2</v>
      </c>
      <c r="F30" s="88">
        <f>1.5727+5.8875+14.4392+34</f>
        <v>55.8994</v>
      </c>
      <c r="G30" s="89">
        <f t="shared" si="3"/>
        <v>1561065.2924398405</v>
      </c>
      <c r="H30" s="67"/>
    </row>
    <row r="31" spans="1:8" ht="20.399999999999999" x14ac:dyDescent="0.3">
      <c r="A31" s="296" t="s">
        <v>17</v>
      </c>
      <c r="B31" s="296"/>
      <c r="C31" s="296"/>
      <c r="D31" s="296"/>
      <c r="E31" s="296"/>
      <c r="F31" s="296"/>
      <c r="G31" s="90">
        <f>SUM(G25:G30)</f>
        <v>2461037.8215194205</v>
      </c>
      <c r="H31" s="90"/>
    </row>
  </sheetData>
  <mergeCells count="8">
    <mergeCell ref="B24:C24"/>
    <mergeCell ref="D24:E24"/>
    <mergeCell ref="A31:F31"/>
    <mergeCell ref="A3:H3"/>
    <mergeCell ref="B9:C9"/>
    <mergeCell ref="D9:E9"/>
    <mergeCell ref="A16:F16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002060"/>
  </sheetPr>
  <dimension ref="A1:J15"/>
  <sheetViews>
    <sheetView showGridLines="0" zoomScale="85" zoomScaleNormal="85" zoomScaleSheetLayoutView="95" workbookViewId="0">
      <selection activeCell="G19" sqref="G19:G20"/>
    </sheetView>
  </sheetViews>
  <sheetFormatPr defaultColWidth="9.109375" defaultRowHeight="19.8" x14ac:dyDescent="0.3"/>
  <cols>
    <col min="1" max="1" width="53" style="45" bestFit="1" customWidth="1"/>
    <col min="2" max="7" width="27" style="45" customWidth="1"/>
    <col min="8" max="8" width="14" style="45" customWidth="1"/>
    <col min="9" max="16384" width="9.109375" style="1"/>
  </cols>
  <sheetData>
    <row r="1" spans="1:10" x14ac:dyDescent="0.3">
      <c r="A1" s="48"/>
      <c r="B1" s="48"/>
      <c r="C1" s="48"/>
      <c r="D1" s="48"/>
      <c r="E1" s="48"/>
      <c r="F1" s="48"/>
      <c r="G1" s="48"/>
      <c r="H1" s="48"/>
      <c r="J1" s="2"/>
    </row>
    <row r="2" spans="1:10" ht="26.4" x14ac:dyDescent="0.3">
      <c r="A2" s="297" t="s">
        <v>198</v>
      </c>
      <c r="B2" s="298"/>
      <c r="C2" s="298"/>
      <c r="D2" s="298"/>
      <c r="E2" s="298"/>
      <c r="F2" s="298"/>
      <c r="G2" s="298"/>
      <c r="H2" s="299"/>
      <c r="J2" s="2"/>
    </row>
    <row r="3" spans="1:10" s="55" customFormat="1" x14ac:dyDescent="0.3">
      <c r="A3" s="185" t="s">
        <v>185</v>
      </c>
      <c r="B3" s="191">
        <v>45543</v>
      </c>
      <c r="C3" s="189"/>
      <c r="D3" s="189"/>
      <c r="E3" s="189"/>
      <c r="F3" s="189"/>
      <c r="G3" s="189"/>
      <c r="H3" s="190"/>
      <c r="J3" s="79"/>
    </row>
    <row r="4" spans="1:10" s="55" customFormat="1" x14ac:dyDescent="0.3">
      <c r="A4" s="185" t="s">
        <v>296</v>
      </c>
      <c r="B4" s="192" t="s">
        <v>213</v>
      </c>
      <c r="C4" s="187"/>
      <c r="D4" s="187"/>
      <c r="E4" s="187"/>
      <c r="F4" s="187"/>
      <c r="G4" s="187"/>
      <c r="H4" s="188"/>
      <c r="J4" s="79"/>
    </row>
    <row r="5" spans="1:10" x14ac:dyDescent="0.3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0.399999999999999" x14ac:dyDescent="0.3">
      <c r="A6" s="52" t="s">
        <v>324</v>
      </c>
      <c r="B6" s="53"/>
      <c r="C6" s="53"/>
      <c r="D6" s="53"/>
      <c r="E6" s="53"/>
      <c r="F6" s="53"/>
      <c r="G6" s="53"/>
      <c r="H6" s="53"/>
    </row>
    <row r="7" spans="1:10" s="55" customFormat="1" ht="20.399999999999999" x14ac:dyDescent="0.3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3">
      <c r="A8" s="63" t="s">
        <v>14</v>
      </c>
      <c r="B8" s="301" t="s">
        <v>5</v>
      </c>
      <c r="C8" s="302"/>
      <c r="D8" s="301" t="s">
        <v>18</v>
      </c>
      <c r="E8" s="302"/>
      <c r="F8" s="65" t="s">
        <v>118</v>
      </c>
      <c r="G8" s="71" t="s">
        <v>16</v>
      </c>
      <c r="H8" s="90" t="s">
        <v>298</v>
      </c>
    </row>
    <row r="9" spans="1:10" s="55" customFormat="1" ht="20.399999999999999" x14ac:dyDescent="0.3">
      <c r="A9" s="66" t="s">
        <v>321</v>
      </c>
      <c r="B9" s="62"/>
      <c r="C9" s="62"/>
      <c r="D9" s="67">
        <f>5041.4/14-39.9</f>
        <v>320.2</v>
      </c>
      <c r="E9" s="67" t="s">
        <v>2</v>
      </c>
      <c r="F9" s="88">
        <v>500</v>
      </c>
      <c r="G9" s="89">
        <f>F9*D9*1.1</f>
        <v>176110</v>
      </c>
      <c r="H9" s="67"/>
    </row>
    <row r="10" spans="1:10" s="55" customFormat="1" ht="20.399999999999999" x14ac:dyDescent="0.3">
      <c r="A10" s="66" t="s">
        <v>171</v>
      </c>
      <c r="B10" s="62"/>
      <c r="C10" s="62"/>
      <c r="D10" s="67">
        <f>D9</f>
        <v>320.2</v>
      </c>
      <c r="E10" s="67" t="s">
        <v>2</v>
      </c>
      <c r="F10" s="184">
        <v>45</v>
      </c>
      <c r="G10" s="89">
        <f>F10*D10*1.1</f>
        <v>15849.900000000001</v>
      </c>
      <c r="H10" s="67"/>
    </row>
    <row r="11" spans="1:10" s="55" customFormat="1" ht="20.399999999999999" x14ac:dyDescent="0.3">
      <c r="A11" s="66" t="s">
        <v>322</v>
      </c>
      <c r="B11" s="62"/>
      <c r="C11" s="62"/>
      <c r="D11" s="67">
        <v>15</v>
      </c>
      <c r="E11" s="67" t="s">
        <v>2</v>
      </c>
      <c r="F11" s="239">
        <v>450</v>
      </c>
      <c r="G11" s="89">
        <f t="shared" ref="G11:G12" si="0">F11*D11*1.1</f>
        <v>7425.0000000000009</v>
      </c>
      <c r="H11" s="67"/>
    </row>
    <row r="12" spans="1:10" s="55" customFormat="1" ht="20.399999999999999" x14ac:dyDescent="0.3">
      <c r="A12" s="66" t="s">
        <v>323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0.399999999999999" x14ac:dyDescent="0.3">
      <c r="A13" s="296" t="s">
        <v>17</v>
      </c>
      <c r="B13" s="296"/>
      <c r="C13" s="296"/>
      <c r="D13" s="110"/>
      <c r="E13" s="110"/>
      <c r="F13" s="110"/>
      <c r="G13" s="90">
        <f>SUM(G9:G12)</f>
        <v>199384.9</v>
      </c>
      <c r="H13" s="90"/>
    </row>
    <row r="14" spans="1:10" s="55" customFormat="1" ht="20.399999999999999" x14ac:dyDescent="0.3">
      <c r="A14" s="300"/>
      <c r="B14" s="300"/>
      <c r="C14" s="300"/>
      <c r="D14" s="111"/>
      <c r="E14" s="111"/>
      <c r="F14" s="111"/>
      <c r="G14" s="59"/>
      <c r="H14" s="59"/>
    </row>
    <row r="15" spans="1:10" ht="23.25" customHeight="1" x14ac:dyDescent="0.3">
      <c r="A15" s="293" t="s">
        <v>277</v>
      </c>
      <c r="B15" s="294"/>
      <c r="C15" s="295"/>
      <c r="D15" s="109"/>
      <c r="E15" s="109"/>
      <c r="F15" s="109"/>
      <c r="G15" s="108">
        <f>G13</f>
        <v>199384.9</v>
      </c>
      <c r="H15" s="108">
        <f>G15/DADOS_INICIAIS!$E$9</f>
        <v>15.164909969591823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dimension ref="A1:L34"/>
  <sheetViews>
    <sheetView showGridLines="0" topLeftCell="A3" zoomScale="80" zoomScaleNormal="80" zoomScaleSheetLayoutView="95" workbookViewId="0">
      <selection activeCell="A14" sqref="A14:A15"/>
    </sheetView>
  </sheetViews>
  <sheetFormatPr defaultColWidth="9.109375" defaultRowHeight="14.4" x14ac:dyDescent="0.3"/>
  <cols>
    <col min="1" max="1" width="50.109375" style="55" customWidth="1"/>
    <col min="2" max="2" width="21.6640625" style="55" customWidth="1"/>
    <col min="3" max="3" width="26.5546875" style="55" customWidth="1"/>
    <col min="4" max="4" width="16.5546875" style="81" customWidth="1"/>
    <col min="5" max="5" width="19.5546875" style="82" customWidth="1"/>
    <col min="6" max="6" width="20.88671875" style="55" customWidth="1"/>
    <col min="7" max="7" width="23.5546875" style="55" customWidth="1"/>
    <col min="8" max="8" width="58.33203125" style="55" customWidth="1"/>
    <col min="9" max="9" width="11.33203125" style="55" customWidth="1"/>
    <col min="10" max="10" width="9.109375" style="55"/>
    <col min="11" max="11" width="11" style="55" bestFit="1" customWidth="1"/>
    <col min="12" max="12" width="11.33203125" style="55" bestFit="1" customWidth="1"/>
    <col min="13" max="13" width="9.109375" style="55"/>
    <col min="14" max="15" width="11" style="55" bestFit="1" customWidth="1"/>
    <col min="16" max="16384" width="9.109375" style="55"/>
  </cols>
  <sheetData>
    <row r="1" spans="1:10" x14ac:dyDescent="0.3">
      <c r="D1" s="79"/>
      <c r="E1" s="55"/>
      <c r="H1" s="80"/>
      <c r="I1" s="80"/>
      <c r="J1" s="79"/>
    </row>
    <row r="3" spans="1:10" ht="26.4" x14ac:dyDescent="0.3">
      <c r="A3" s="297" t="s">
        <v>236</v>
      </c>
      <c r="B3" s="305"/>
      <c r="C3" s="305"/>
      <c r="D3" s="298"/>
      <c r="E3" s="298"/>
      <c r="F3" s="298"/>
      <c r="G3" s="298"/>
      <c r="H3" s="299"/>
      <c r="J3" s="79"/>
    </row>
    <row r="4" spans="1:10" ht="19.8" x14ac:dyDescent="0.3">
      <c r="A4" s="185" t="s">
        <v>185</v>
      </c>
      <c r="B4" s="191">
        <v>45460</v>
      </c>
      <c r="C4" s="189"/>
      <c r="D4" s="189"/>
      <c r="E4" s="189"/>
      <c r="F4" s="189"/>
      <c r="G4" s="189"/>
      <c r="H4" s="190"/>
      <c r="J4" s="79"/>
    </row>
    <row r="5" spans="1:10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0.399999999999999" x14ac:dyDescent="0.3">
      <c r="A6" s="83"/>
      <c r="B6" s="83"/>
      <c r="C6" s="83"/>
      <c r="D6" s="83"/>
      <c r="E6" s="83"/>
      <c r="F6" s="84"/>
      <c r="G6" s="85"/>
      <c r="H6" s="85"/>
      <c r="J6" s="79"/>
    </row>
    <row r="7" spans="1:10" ht="20.399999999999999" x14ac:dyDescent="0.3">
      <c r="A7" s="52" t="s">
        <v>236</v>
      </c>
      <c r="B7" s="52"/>
      <c r="C7" s="52"/>
      <c r="D7" s="53"/>
      <c r="E7" s="53"/>
      <c r="F7" s="54"/>
      <c r="G7" s="53"/>
      <c r="H7" s="53"/>
    </row>
    <row r="8" spans="1:10" ht="20.399999999999999" x14ac:dyDescent="0.3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65"/>
      <c r="G9" s="71" t="s">
        <v>16</v>
      </c>
      <c r="H9" s="90" t="s">
        <v>298</v>
      </c>
    </row>
    <row r="10" spans="1:10" ht="20.399999999999999" x14ac:dyDescent="0.3">
      <c r="A10" s="66" t="s">
        <v>235</v>
      </c>
      <c r="B10" s="62">
        <f>D10/DADOS_INICIAIS!E9</f>
        <v>0.16054231969199362</v>
      </c>
      <c r="C10" s="62" t="s">
        <v>320</v>
      </c>
      <c r="D10" s="197">
        <f>Orçamento!D120+Orçamento!D24</f>
        <v>2110.7750999999998</v>
      </c>
      <c r="E10" s="67" t="s">
        <v>2</v>
      </c>
      <c r="F10" s="203">
        <v>1250</v>
      </c>
      <c r="G10" s="89">
        <f>F10*D10*1.1</f>
        <v>2902315.7625000002</v>
      </c>
      <c r="H10" s="67" t="s">
        <v>486</v>
      </c>
      <c r="I10" s="55">
        <f>G10/D10</f>
        <v>1375.0000000000002</v>
      </c>
    </row>
    <row r="11" spans="1:10" ht="20.399999999999999" x14ac:dyDescent="0.3">
      <c r="A11" s="198" t="s">
        <v>349</v>
      </c>
      <c r="B11" s="62"/>
      <c r="C11" s="62"/>
      <c r="D11" s="197">
        <f>18.15+236.54</f>
        <v>254.69</v>
      </c>
      <c r="E11" s="67" t="s">
        <v>2</v>
      </c>
      <c r="F11" s="88">
        <v>950</v>
      </c>
      <c r="G11" s="89">
        <f>F11*D11*1.1</f>
        <v>266151.05000000005</v>
      </c>
      <c r="H11" s="67"/>
    </row>
    <row r="12" spans="1:10" ht="20.399999999999999" x14ac:dyDescent="0.3">
      <c r="A12" s="198" t="s">
        <v>351</v>
      </c>
      <c r="B12" s="62"/>
      <c r="C12" s="62"/>
      <c r="D12" s="202">
        <f>F30</f>
        <v>345.25400000000002</v>
      </c>
      <c r="E12" s="67" t="s">
        <v>2</v>
      </c>
      <c r="F12" s="88">
        <v>2100</v>
      </c>
      <c r="G12" s="89">
        <f t="shared" ref="G12:G13" si="0">F12*D12*1.1</f>
        <v>797536.74000000011</v>
      </c>
      <c r="H12" s="67">
        <f>G12/D12</f>
        <v>2310</v>
      </c>
    </row>
    <row r="13" spans="1:10" ht="20.399999999999999" x14ac:dyDescent="0.3">
      <c r="A13" s="78" t="s">
        <v>230</v>
      </c>
      <c r="B13" s="62"/>
      <c r="C13" s="62"/>
      <c r="D13" s="239">
        <v>2</v>
      </c>
      <c r="E13" s="67" t="s">
        <v>3</v>
      </c>
      <c r="F13" s="88">
        <v>18000</v>
      </c>
      <c r="G13" s="89">
        <f t="shared" si="0"/>
        <v>39600</v>
      </c>
      <c r="H13" s="67"/>
    </row>
    <row r="14" spans="1:10" ht="20.399999999999999" x14ac:dyDescent="0.3">
      <c r="A14" s="78" t="s">
        <v>232</v>
      </c>
      <c r="B14" s="62"/>
      <c r="C14" s="62"/>
      <c r="D14" s="202">
        <f>E30</f>
        <v>454.56639999999999</v>
      </c>
      <c r="E14" s="67" t="s">
        <v>2</v>
      </c>
      <c r="F14" s="88">
        <v>2100</v>
      </c>
      <c r="G14" s="89">
        <f t="shared" ref="G14" si="1">F14*D14*1.1</f>
        <v>1050048.3840000001</v>
      </c>
      <c r="H14" s="67"/>
    </row>
    <row r="15" spans="1:10" ht="20.399999999999999" x14ac:dyDescent="0.3">
      <c r="A15" s="78" t="s">
        <v>493</v>
      </c>
      <c r="B15" s="62"/>
      <c r="C15" s="62"/>
      <c r="D15" s="202">
        <f>E29</f>
        <v>497.41439999999994</v>
      </c>
      <c r="E15" s="67" t="s">
        <v>2</v>
      </c>
      <c r="F15" s="88">
        <v>610</v>
      </c>
      <c r="G15" s="89">
        <f>F15*D15*1.1</f>
        <v>333765.0624</v>
      </c>
      <c r="H15" s="67"/>
    </row>
    <row r="16" spans="1:10" ht="20.399999999999999" x14ac:dyDescent="0.3">
      <c r="A16" s="78" t="s">
        <v>233</v>
      </c>
      <c r="B16" s="62">
        <v>6</v>
      </c>
      <c r="C16" s="62" t="s">
        <v>6</v>
      </c>
      <c r="D16" s="239">
        <v>1</v>
      </c>
      <c r="E16" s="67" t="s">
        <v>27</v>
      </c>
      <c r="F16" s="88">
        <f>B16*DADOS_INICIAIS!$E$9</f>
        <v>78886.680000000008</v>
      </c>
      <c r="G16" s="89">
        <f t="shared" ref="G16:G21" si="2">F16*D16*1.1</f>
        <v>86775.348000000013</v>
      </c>
      <c r="H16" s="67"/>
    </row>
    <row r="17" spans="1:12" ht="28.5" customHeight="1" x14ac:dyDescent="0.3">
      <c r="A17" s="78" t="s">
        <v>234</v>
      </c>
      <c r="B17" s="62"/>
      <c r="C17" s="62"/>
      <c r="D17" s="197">
        <f>2*DADOS_INICIAIS!E15</f>
        <v>26</v>
      </c>
      <c r="E17" s="67" t="s">
        <v>3</v>
      </c>
      <c r="F17" s="88">
        <v>1750</v>
      </c>
      <c r="G17" s="89">
        <f t="shared" si="2"/>
        <v>50050.000000000007</v>
      </c>
      <c r="H17" s="67"/>
    </row>
    <row r="18" spans="1:12" ht="20.399999999999999" x14ac:dyDescent="0.3">
      <c r="A18" s="78" t="s">
        <v>231</v>
      </c>
      <c r="B18" s="62"/>
      <c r="C18" s="62"/>
      <c r="D18" s="197">
        <f>16.4*1.2*DADOS_INICIAIS!E15</f>
        <v>255.83999999999995</v>
      </c>
      <c r="E18" s="67" t="s">
        <v>4</v>
      </c>
      <c r="F18" s="88">
        <v>65</v>
      </c>
      <c r="G18" s="89">
        <f t="shared" si="2"/>
        <v>18292.559999999998</v>
      </c>
      <c r="H18" s="67"/>
    </row>
    <row r="19" spans="1:12" ht="20.399999999999999" x14ac:dyDescent="0.3">
      <c r="A19" s="78" t="s">
        <v>495</v>
      </c>
      <c r="B19" s="62"/>
      <c r="C19" s="62"/>
      <c r="D19" s="197">
        <f>7.228*4</f>
        <v>28.911999999999999</v>
      </c>
      <c r="E19" s="67" t="s">
        <v>4</v>
      </c>
      <c r="F19" s="88">
        <v>650</v>
      </c>
      <c r="G19" s="89">
        <f t="shared" ref="G19" si="3">F19*D19*1.1</f>
        <v>20672.080000000002</v>
      </c>
      <c r="H19" s="67"/>
    </row>
    <row r="20" spans="1:12" ht="20.399999999999999" x14ac:dyDescent="0.3">
      <c r="A20" s="78" t="s">
        <v>346</v>
      </c>
      <c r="B20" s="62"/>
      <c r="C20" s="62"/>
      <c r="D20" s="197">
        <f>DADOS_INICIAIS!E10</f>
        <v>84</v>
      </c>
      <c r="E20" s="67" t="s">
        <v>3</v>
      </c>
      <c r="F20" s="88">
        <v>1500</v>
      </c>
      <c r="G20" s="89">
        <f t="shared" si="2"/>
        <v>138600</v>
      </c>
      <c r="H20" s="67"/>
    </row>
    <row r="21" spans="1:12" ht="20.399999999999999" x14ac:dyDescent="0.3">
      <c r="A21" s="66" t="s">
        <v>229</v>
      </c>
      <c r="B21" s="62"/>
      <c r="C21" s="62"/>
      <c r="D21" s="202">
        <f>16+187+201+69+3</f>
        <v>476</v>
      </c>
      <c r="E21" s="67" t="s">
        <v>3</v>
      </c>
      <c r="F21" s="88">
        <f>1800+130</f>
        <v>1930</v>
      </c>
      <c r="G21" s="89">
        <f t="shared" si="2"/>
        <v>1010548.0000000001</v>
      </c>
      <c r="H21" s="67"/>
    </row>
    <row r="22" spans="1:12" ht="20.399999999999999" x14ac:dyDescent="0.3">
      <c r="A22" s="296" t="s">
        <v>17</v>
      </c>
      <c r="B22" s="296"/>
      <c r="C22" s="296"/>
      <c r="D22" s="296"/>
      <c r="E22" s="296"/>
      <c r="F22" s="296"/>
      <c r="G22" s="90">
        <f>SUM(G10:G21)</f>
        <v>6714354.9868999999</v>
      </c>
      <c r="H22" s="90"/>
      <c r="K22" s="55">
        <f>4160+1440+1120+2880+4800+91680+4000</f>
        <v>110080</v>
      </c>
      <c r="L22" s="55">
        <f>K22/21</f>
        <v>5241.9047619047615</v>
      </c>
    </row>
    <row r="24" spans="1:12" ht="20.399999999999999" x14ac:dyDescent="0.3">
      <c r="A24" s="306" t="s">
        <v>328</v>
      </c>
      <c r="B24" s="307"/>
      <c r="C24" s="307"/>
      <c r="D24" s="307"/>
      <c r="E24" s="307"/>
      <c r="F24" s="308"/>
      <c r="G24" s="91">
        <f>G22</f>
        <v>6714354.9868999999</v>
      </c>
      <c r="H24" s="91">
        <f>G24/DADOS_INICIAIS!E9</f>
        <v>510.68355166423532</v>
      </c>
    </row>
    <row r="28" spans="1:12" x14ac:dyDescent="0.3">
      <c r="B28" s="55" t="s">
        <v>817</v>
      </c>
      <c r="C28" s="55" t="s">
        <v>482</v>
      </c>
      <c r="D28" s="55" t="s">
        <v>198</v>
      </c>
      <c r="E28" s="286" t="s">
        <v>818</v>
      </c>
      <c r="F28" s="82" t="s">
        <v>494</v>
      </c>
    </row>
    <row r="29" spans="1:12" x14ac:dyDescent="0.3">
      <c r="A29" s="55" t="s">
        <v>491</v>
      </c>
      <c r="C29" s="55">
        <f>22.206</f>
        <v>22.206</v>
      </c>
      <c r="D29" s="55">
        <v>0</v>
      </c>
      <c r="E29" s="285">
        <f>C29*2.8*8</f>
        <v>497.41439999999994</v>
      </c>
      <c r="F29" s="82"/>
    </row>
    <row r="30" spans="1:12" x14ac:dyDescent="0.3">
      <c r="A30" s="55" t="s">
        <v>492</v>
      </c>
      <c r="B30" s="55">
        <f>27.767*1.2+23.699*2</f>
        <v>80.718400000000003</v>
      </c>
      <c r="C30" s="55">
        <v>246.61</v>
      </c>
      <c r="D30" s="55">
        <f>43.092*2+20.527*2</f>
        <v>127.238</v>
      </c>
      <c r="E30" s="285">
        <f>B30+C30+D30</f>
        <v>454.56639999999999</v>
      </c>
      <c r="F30" s="82">
        <f>C30*2.8/2</f>
        <v>345.25400000000002</v>
      </c>
    </row>
    <row r="34" spans="3:3" x14ac:dyDescent="0.3">
      <c r="C34" s="55">
        <f>43.092*2+20.527*2</f>
        <v>127.238</v>
      </c>
    </row>
  </sheetData>
  <mergeCells count="5">
    <mergeCell ref="A3:H3"/>
    <mergeCell ref="B9:C9"/>
    <mergeCell ref="D9:E9"/>
    <mergeCell ref="A22:F22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2FB1-8452-4A0F-B6E6-3F672F805B64}">
  <dimension ref="A1:L34"/>
  <sheetViews>
    <sheetView showGridLines="0" topLeftCell="A7" zoomScale="80" zoomScaleNormal="80" zoomScaleSheetLayoutView="95" workbookViewId="0">
      <selection activeCell="I10" sqref="I10"/>
    </sheetView>
  </sheetViews>
  <sheetFormatPr defaultColWidth="9.109375" defaultRowHeight="14.4" x14ac:dyDescent="0.3"/>
  <cols>
    <col min="1" max="1" width="50.109375" style="55" customWidth="1"/>
    <col min="2" max="2" width="21.6640625" style="55" customWidth="1"/>
    <col min="3" max="3" width="26.5546875" style="55" customWidth="1"/>
    <col min="4" max="4" width="16.5546875" style="81" customWidth="1"/>
    <col min="5" max="5" width="19.5546875" style="82" customWidth="1"/>
    <col min="6" max="6" width="20.88671875" style="55" customWidth="1"/>
    <col min="7" max="7" width="23.5546875" style="55" customWidth="1"/>
    <col min="8" max="8" width="58.33203125" style="55" customWidth="1"/>
    <col min="9" max="9" width="11.33203125" style="55" customWidth="1"/>
    <col min="10" max="10" width="9.109375" style="55"/>
    <col min="11" max="11" width="11" style="55" bestFit="1" customWidth="1"/>
    <col min="12" max="12" width="11.33203125" style="55" bestFit="1" customWidth="1"/>
    <col min="13" max="13" width="9.109375" style="55"/>
    <col min="14" max="15" width="11" style="55" bestFit="1" customWidth="1"/>
    <col min="16" max="16384" width="9.109375" style="55"/>
  </cols>
  <sheetData>
    <row r="1" spans="1:10" x14ac:dyDescent="0.3">
      <c r="D1" s="79"/>
      <c r="E1" s="55"/>
      <c r="H1" s="80"/>
      <c r="I1" s="80"/>
      <c r="J1" s="79"/>
    </row>
    <row r="3" spans="1:10" ht="26.4" x14ac:dyDescent="0.3">
      <c r="A3" s="297" t="s">
        <v>236</v>
      </c>
      <c r="B3" s="305"/>
      <c r="C3" s="305"/>
      <c r="D3" s="298"/>
      <c r="E3" s="298"/>
      <c r="F3" s="298"/>
      <c r="G3" s="298"/>
      <c r="H3" s="299"/>
      <c r="J3" s="79"/>
    </row>
    <row r="4" spans="1:10" ht="19.8" x14ac:dyDescent="0.3">
      <c r="A4" s="185" t="s">
        <v>185</v>
      </c>
      <c r="B4" s="191">
        <v>45460</v>
      </c>
      <c r="C4" s="189"/>
      <c r="D4" s="189"/>
      <c r="E4" s="189"/>
      <c r="F4" s="189"/>
      <c r="G4" s="189"/>
      <c r="H4" s="190"/>
      <c r="J4" s="79"/>
    </row>
    <row r="5" spans="1:10" ht="19.8" x14ac:dyDescent="0.3">
      <c r="A5" s="185" t="s">
        <v>296</v>
      </c>
      <c r="B5" s="192" t="s">
        <v>213</v>
      </c>
      <c r="C5" s="187"/>
      <c r="D5" s="187"/>
      <c r="E5" s="187"/>
      <c r="F5" s="187"/>
      <c r="G5" s="187"/>
      <c r="H5" s="188"/>
      <c r="J5" s="79"/>
    </row>
    <row r="6" spans="1:10" ht="20.399999999999999" x14ac:dyDescent="0.3">
      <c r="A6" s="83"/>
      <c r="B6" s="83"/>
      <c r="C6" s="83"/>
      <c r="D6" s="83"/>
      <c r="E6" s="83"/>
      <c r="F6" s="84"/>
      <c r="G6" s="85"/>
      <c r="H6" s="85"/>
      <c r="J6" s="79"/>
    </row>
    <row r="7" spans="1:10" ht="20.399999999999999" x14ac:dyDescent="0.3">
      <c r="A7" s="52" t="s">
        <v>236</v>
      </c>
      <c r="B7" s="52"/>
      <c r="C7" s="52"/>
      <c r="D7" s="53"/>
      <c r="E7" s="53"/>
      <c r="F7" s="54"/>
      <c r="G7" s="53"/>
      <c r="H7" s="53"/>
    </row>
    <row r="8" spans="1:10" ht="20.399999999999999" x14ac:dyDescent="0.3">
      <c r="A8" s="56"/>
      <c r="B8" s="56"/>
      <c r="C8" s="56"/>
      <c r="D8" s="287">
        <f>ESQUADRIAS!D10-'ESQUADRIAS (2)'!D10</f>
        <v>460.79999999999995</v>
      </c>
      <c r="E8" s="57"/>
      <c r="F8" s="58"/>
      <c r="G8" s="59"/>
      <c r="H8" s="59"/>
    </row>
    <row r="9" spans="1:10" ht="42" customHeight="1" x14ac:dyDescent="0.3">
      <c r="A9" s="63" t="s">
        <v>14</v>
      </c>
      <c r="B9" s="301" t="s">
        <v>5</v>
      </c>
      <c r="C9" s="302"/>
      <c r="D9" s="301" t="s">
        <v>18</v>
      </c>
      <c r="E9" s="302"/>
      <c r="F9" s="65"/>
      <c r="G9" s="71" t="s">
        <v>16</v>
      </c>
      <c r="H9" s="90" t="s">
        <v>298</v>
      </c>
    </row>
    <row r="10" spans="1:10" ht="20.399999999999999" x14ac:dyDescent="0.3">
      <c r="A10" s="66" t="s">
        <v>235</v>
      </c>
      <c r="B10" s="62">
        <f>D10/DADOS_INICIAIS!E9</f>
        <v>0.12549457779184012</v>
      </c>
      <c r="C10" s="62" t="s">
        <v>320</v>
      </c>
      <c r="D10" s="197">
        <f>Orçamento!D120+Orçamento!D24-748.8+288</f>
        <v>1649.9750999999999</v>
      </c>
      <c r="E10" s="67" t="s">
        <v>2</v>
      </c>
      <c r="F10" s="203">
        <v>1150</v>
      </c>
      <c r="G10" s="89">
        <f>F10*D10*1.1</f>
        <v>2087218.5015</v>
      </c>
      <c r="H10" s="67" t="s">
        <v>486</v>
      </c>
      <c r="I10" s="55">
        <f>G10/D10</f>
        <v>1265</v>
      </c>
    </row>
    <row r="11" spans="1:10" ht="20.399999999999999" x14ac:dyDescent="0.3">
      <c r="A11" s="198" t="s">
        <v>349</v>
      </c>
      <c r="B11" s="62"/>
      <c r="C11" s="62"/>
      <c r="D11" s="197">
        <f>18.15+236.54</f>
        <v>254.69</v>
      </c>
      <c r="E11" s="67" t="s">
        <v>2</v>
      </c>
      <c r="F11" s="88">
        <v>950</v>
      </c>
      <c r="G11" s="89">
        <f>F11*D11*1.1</f>
        <v>266151.05000000005</v>
      </c>
      <c r="H11" s="67"/>
    </row>
    <row r="12" spans="1:10" ht="20.399999999999999" x14ac:dyDescent="0.3">
      <c r="A12" s="198" t="s">
        <v>351</v>
      </c>
      <c r="B12" s="62"/>
      <c r="C12" s="62"/>
      <c r="D12" s="202">
        <f>F30</f>
        <v>345.25400000000002</v>
      </c>
      <c r="E12" s="67" t="s">
        <v>2</v>
      </c>
      <c r="F12" s="88">
        <v>2100</v>
      </c>
      <c r="G12" s="89">
        <f t="shared" ref="G12:G14" si="0">F12*D12*1.1</f>
        <v>797536.74000000011</v>
      </c>
      <c r="H12" s="67"/>
    </row>
    <row r="13" spans="1:10" ht="20.399999999999999" x14ac:dyDescent="0.3">
      <c r="A13" s="78" t="s">
        <v>230</v>
      </c>
      <c r="B13" s="62"/>
      <c r="C13" s="62"/>
      <c r="D13" s="239">
        <v>2</v>
      </c>
      <c r="E13" s="67" t="s">
        <v>3</v>
      </c>
      <c r="F13" s="88">
        <v>18000</v>
      </c>
      <c r="G13" s="89">
        <f t="shared" si="0"/>
        <v>39600</v>
      </c>
      <c r="H13" s="67"/>
    </row>
    <row r="14" spans="1:10" ht="20.399999999999999" x14ac:dyDescent="0.3">
      <c r="A14" s="78" t="s">
        <v>232</v>
      </c>
      <c r="B14" s="62"/>
      <c r="C14" s="62"/>
      <c r="D14" s="202">
        <f>E30</f>
        <v>454.56639999999999</v>
      </c>
      <c r="E14" s="67" t="s">
        <v>2</v>
      </c>
      <c r="F14" s="88">
        <v>2100</v>
      </c>
      <c r="G14" s="89">
        <f t="shared" si="0"/>
        <v>1050048.3840000001</v>
      </c>
      <c r="H14" s="67"/>
    </row>
    <row r="15" spans="1:10" ht="20.399999999999999" x14ac:dyDescent="0.3">
      <c r="A15" s="78" t="s">
        <v>493</v>
      </c>
      <c r="B15" s="62"/>
      <c r="C15" s="62"/>
      <c r="D15" s="202">
        <f>E29</f>
        <v>497.41439999999994</v>
      </c>
      <c r="E15" s="67" t="s">
        <v>2</v>
      </c>
      <c r="F15" s="88">
        <v>610</v>
      </c>
      <c r="G15" s="89">
        <f>F15*D15*1.1</f>
        <v>333765.0624</v>
      </c>
      <c r="H15" s="67"/>
    </row>
    <row r="16" spans="1:10" ht="20.399999999999999" x14ac:dyDescent="0.3">
      <c r="A16" s="78" t="s">
        <v>233</v>
      </c>
      <c r="B16" s="62">
        <v>6</v>
      </c>
      <c r="C16" s="62" t="s">
        <v>6</v>
      </c>
      <c r="D16" s="239">
        <v>1</v>
      </c>
      <c r="E16" s="67" t="s">
        <v>27</v>
      </c>
      <c r="F16" s="88">
        <f>B16*DADOS_INICIAIS!$E$9</f>
        <v>78886.680000000008</v>
      </c>
      <c r="G16" s="89">
        <f t="shared" ref="G16:G21" si="1">F16*D16*1.1</f>
        <v>86775.348000000013</v>
      </c>
      <c r="H16" s="67"/>
    </row>
    <row r="17" spans="1:12" ht="28.5" customHeight="1" x14ac:dyDescent="0.3">
      <c r="A17" s="78" t="s">
        <v>234</v>
      </c>
      <c r="B17" s="62"/>
      <c r="C17" s="62"/>
      <c r="D17" s="197">
        <f>2*DADOS_INICIAIS!E15</f>
        <v>26</v>
      </c>
      <c r="E17" s="67" t="s">
        <v>3</v>
      </c>
      <c r="F17" s="88">
        <v>1750</v>
      </c>
      <c r="G17" s="89">
        <f t="shared" si="1"/>
        <v>50050.000000000007</v>
      </c>
      <c r="H17" s="67"/>
    </row>
    <row r="18" spans="1:12" ht="20.399999999999999" x14ac:dyDescent="0.3">
      <c r="A18" s="78" t="s">
        <v>231</v>
      </c>
      <c r="B18" s="62"/>
      <c r="C18" s="62"/>
      <c r="D18" s="197">
        <f>16.4*1.2*DADOS_INICIAIS!E15</f>
        <v>255.83999999999995</v>
      </c>
      <c r="E18" s="67" t="s">
        <v>4</v>
      </c>
      <c r="F18" s="88">
        <v>65</v>
      </c>
      <c r="G18" s="89">
        <f t="shared" si="1"/>
        <v>18292.559999999998</v>
      </c>
      <c r="H18" s="67"/>
    </row>
    <row r="19" spans="1:12" ht="20.399999999999999" x14ac:dyDescent="0.3">
      <c r="A19" s="78" t="s">
        <v>495</v>
      </c>
      <c r="B19" s="62"/>
      <c r="C19" s="62"/>
      <c r="D19" s="197">
        <f>7.228*4</f>
        <v>28.911999999999999</v>
      </c>
      <c r="E19" s="67" t="s">
        <v>4</v>
      </c>
      <c r="F19" s="88">
        <v>650</v>
      </c>
      <c r="G19" s="89">
        <f t="shared" si="1"/>
        <v>20672.080000000002</v>
      </c>
      <c r="H19" s="67"/>
    </row>
    <row r="20" spans="1:12" ht="20.399999999999999" x14ac:dyDescent="0.3">
      <c r="A20" s="78" t="s">
        <v>346</v>
      </c>
      <c r="B20" s="62"/>
      <c r="C20" s="62"/>
      <c r="D20" s="197">
        <f>DADOS_INICIAIS!E10</f>
        <v>84</v>
      </c>
      <c r="E20" s="67" t="s">
        <v>3</v>
      </c>
      <c r="F20" s="88">
        <v>1500</v>
      </c>
      <c r="G20" s="89">
        <f t="shared" si="1"/>
        <v>138600</v>
      </c>
      <c r="H20" s="67"/>
    </row>
    <row r="21" spans="1:12" ht="20.399999999999999" x14ac:dyDescent="0.3">
      <c r="A21" s="66" t="s">
        <v>229</v>
      </c>
      <c r="B21" s="62"/>
      <c r="C21" s="62"/>
      <c r="D21" s="202">
        <f>16+187+201+69+3</f>
        <v>476</v>
      </c>
      <c r="E21" s="67" t="s">
        <v>3</v>
      </c>
      <c r="F21" s="88">
        <f>1800+130</f>
        <v>1930</v>
      </c>
      <c r="G21" s="89">
        <f t="shared" si="1"/>
        <v>1010548.0000000001</v>
      </c>
      <c r="H21" s="67"/>
    </row>
    <row r="22" spans="1:12" ht="20.399999999999999" x14ac:dyDescent="0.3">
      <c r="A22" s="296" t="s">
        <v>17</v>
      </c>
      <c r="B22" s="296"/>
      <c r="C22" s="296"/>
      <c r="D22" s="296"/>
      <c r="E22" s="296"/>
      <c r="F22" s="296"/>
      <c r="G22" s="90">
        <f>SUM(G10:G21)</f>
        <v>5899257.7259</v>
      </c>
      <c r="H22" s="90"/>
      <c r="K22" s="55">
        <f>4160+1440+1120+2880+4800+91680+4000</f>
        <v>110080</v>
      </c>
      <c r="L22" s="55">
        <f>K22/21</f>
        <v>5241.9047619047615</v>
      </c>
    </row>
    <row r="24" spans="1:12" ht="20.399999999999999" x14ac:dyDescent="0.3">
      <c r="A24" s="306" t="s">
        <v>328</v>
      </c>
      <c r="B24" s="307"/>
      <c r="C24" s="307"/>
      <c r="D24" s="307"/>
      <c r="E24" s="307"/>
      <c r="F24" s="308"/>
      <c r="G24" s="91">
        <f>G22</f>
        <v>5899257.7259</v>
      </c>
      <c r="H24" s="91">
        <f>G24/DADOS_INICIAIS!E9</f>
        <v>448.68850299442187</v>
      </c>
    </row>
    <row r="28" spans="1:12" x14ac:dyDescent="0.3">
      <c r="B28" s="55" t="s">
        <v>817</v>
      </c>
      <c r="C28" s="55" t="s">
        <v>482</v>
      </c>
      <c r="D28" s="55" t="s">
        <v>198</v>
      </c>
      <c r="E28" s="286" t="s">
        <v>818</v>
      </c>
      <c r="F28" s="82" t="s">
        <v>494</v>
      </c>
    </row>
    <row r="29" spans="1:12" x14ac:dyDescent="0.3">
      <c r="A29" s="55" t="s">
        <v>491</v>
      </c>
      <c r="C29" s="55">
        <f>22.206</f>
        <v>22.206</v>
      </c>
      <c r="D29" s="55">
        <v>0</v>
      </c>
      <c r="E29" s="285">
        <f>C29*2.8*8</f>
        <v>497.41439999999994</v>
      </c>
      <c r="F29" s="82"/>
    </row>
    <row r="30" spans="1:12" x14ac:dyDescent="0.3">
      <c r="A30" s="55" t="s">
        <v>492</v>
      </c>
      <c r="B30" s="55">
        <f>27.767*1.2+23.699*2</f>
        <v>80.718400000000003</v>
      </c>
      <c r="C30" s="55">
        <v>246.61</v>
      </c>
      <c r="D30" s="55">
        <f>43.092*2+20.527*2</f>
        <v>127.238</v>
      </c>
      <c r="E30" s="285">
        <f>B30+C30+D30</f>
        <v>454.56639999999999</v>
      </c>
      <c r="F30" s="82">
        <f>C30*2.8/2</f>
        <v>345.25400000000002</v>
      </c>
    </row>
    <row r="34" spans="3:3" x14ac:dyDescent="0.3">
      <c r="C34" s="55">
        <f>43.092*2+20.527*2</f>
        <v>127.238</v>
      </c>
    </row>
  </sheetData>
  <mergeCells count="5">
    <mergeCell ref="A3:H3"/>
    <mergeCell ref="B9:C9"/>
    <mergeCell ref="D9:E9"/>
    <mergeCell ref="A22:F22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P41"/>
  <sheetViews>
    <sheetView showGridLines="0" tabSelected="1" topLeftCell="A4" zoomScale="92" zoomScaleNormal="92" zoomScaleSheetLayoutView="95" workbookViewId="0">
      <selection activeCell="D16" sqref="D16"/>
    </sheetView>
  </sheetViews>
  <sheetFormatPr defaultColWidth="9.109375" defaultRowHeight="13.2" x14ac:dyDescent="0.3"/>
  <cols>
    <col min="1" max="1" width="48.6640625" style="1" customWidth="1"/>
    <col min="2" max="2" width="15.88671875" style="114" customWidth="1"/>
    <col min="3" max="3" width="7.5546875" style="113" customWidth="1"/>
    <col min="4" max="4" width="11.5546875" style="112" customWidth="1"/>
    <col min="5" max="5" width="15.88671875" style="1" customWidth="1"/>
    <col min="6" max="6" width="12.88671875" style="1" customWidth="1"/>
    <col min="7" max="7" width="19.109375" style="1" customWidth="1"/>
    <col min="8" max="8" width="15.109375" style="1" customWidth="1"/>
    <col min="9" max="9" width="13.5546875" style="1" bestFit="1" customWidth="1"/>
    <col min="10" max="10" width="12" style="1" bestFit="1" customWidth="1"/>
    <col min="11" max="11" width="9.109375" style="1"/>
    <col min="12" max="12" width="12" style="1" bestFit="1" customWidth="1"/>
    <col min="13" max="16384" width="9.109375" style="1"/>
  </cols>
  <sheetData>
    <row r="1" spans="1:12" x14ac:dyDescent="0.3">
      <c r="B1" s="2"/>
      <c r="C1" s="1"/>
      <c r="D1" s="1"/>
      <c r="G1" s="161"/>
      <c r="H1" s="161"/>
      <c r="I1" s="2"/>
    </row>
    <row r="2" spans="1:12" ht="12.75" customHeight="1" x14ac:dyDescent="0.3">
      <c r="A2" s="332" t="s">
        <v>187</v>
      </c>
      <c r="B2" s="2"/>
      <c r="C2" s="1"/>
      <c r="D2" s="1"/>
      <c r="G2" s="166"/>
      <c r="H2" s="166"/>
      <c r="I2" s="2"/>
    </row>
    <row r="3" spans="1:12" ht="12.75" customHeight="1" x14ac:dyDescent="0.3">
      <c r="A3" s="333"/>
      <c r="B3" s="2"/>
      <c r="C3" s="1"/>
      <c r="D3" s="1"/>
      <c r="G3" s="166"/>
      <c r="H3" s="166"/>
      <c r="I3" s="2"/>
    </row>
    <row r="4" spans="1:12" ht="12.75" customHeight="1" x14ac:dyDescent="0.3">
      <c r="A4" s="333"/>
      <c r="B4" s="2"/>
      <c r="C4" s="1"/>
      <c r="D4" s="1"/>
      <c r="G4" s="166"/>
      <c r="H4" s="166"/>
      <c r="I4" s="2"/>
    </row>
    <row r="5" spans="1:12" ht="13.8" thickBot="1" x14ac:dyDescent="0.35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3">
      <c r="A6" s="162"/>
      <c r="B6" s="2"/>
      <c r="C6" s="1"/>
      <c r="D6" s="1"/>
      <c r="G6" s="161"/>
      <c r="H6" s="161"/>
      <c r="I6" s="2"/>
    </row>
    <row r="7" spans="1:12" x14ac:dyDescent="0.3">
      <c r="A7" s="160" t="s">
        <v>186</v>
      </c>
      <c r="B7" s="159" t="s">
        <v>352</v>
      </c>
      <c r="C7" s="158"/>
      <c r="D7" s="158"/>
      <c r="E7" s="158"/>
      <c r="F7" s="158"/>
      <c r="G7" s="158"/>
      <c r="H7" s="157"/>
      <c r="I7" s="2"/>
    </row>
    <row r="8" spans="1:12" x14ac:dyDescent="0.3">
      <c r="A8" s="156" t="s">
        <v>0</v>
      </c>
      <c r="B8" s="155" t="s">
        <v>350</v>
      </c>
      <c r="C8" s="154"/>
      <c r="D8" s="154"/>
      <c r="E8" s="154"/>
      <c r="F8" s="154"/>
      <c r="G8" s="154"/>
      <c r="H8" s="153"/>
      <c r="I8" s="2"/>
    </row>
    <row r="9" spans="1:12" ht="15" customHeight="1" x14ac:dyDescent="0.3">
      <c r="A9" s="152" t="s">
        <v>185</v>
      </c>
      <c r="B9" s="151">
        <v>45543</v>
      </c>
      <c r="C9" s="150"/>
      <c r="D9" s="150"/>
      <c r="E9" s="150"/>
      <c r="F9" s="150"/>
      <c r="G9" s="150"/>
      <c r="H9" s="149"/>
    </row>
    <row r="10" spans="1:12" x14ac:dyDescent="0.3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2" ht="15.75" customHeight="1" x14ac:dyDescent="0.3">
      <c r="A12" s="144" t="s">
        <v>218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3">
      <c r="A13" s="138"/>
      <c r="B13" s="137">
        <f>2706.92+141.3</f>
        <v>2848.2200000000003</v>
      </c>
      <c r="C13" s="136"/>
      <c r="D13" s="135"/>
      <c r="E13" s="135"/>
      <c r="F13" s="135"/>
      <c r="H13" s="131"/>
      <c r="I13" s="115">
        <f>G15/B15</f>
        <v>135.30000000000001</v>
      </c>
    </row>
    <row r="14" spans="1:12" ht="15.75" customHeight="1" x14ac:dyDescent="0.3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131"/>
      <c r="J14" s="115"/>
      <c r="L14" s="115"/>
    </row>
    <row r="15" spans="1:12" x14ac:dyDescent="0.3">
      <c r="A15" s="170" t="s">
        <v>195</v>
      </c>
      <c r="B15" s="173">
        <f>2706.92+141.3+6.45</f>
        <v>2854.67</v>
      </c>
      <c r="C15" s="129" t="s">
        <v>2</v>
      </c>
      <c r="D15" s="124">
        <f>25+28+70</f>
        <v>123</v>
      </c>
      <c r="E15" s="130" t="s">
        <v>170</v>
      </c>
      <c r="F15" s="126" t="s">
        <v>213</v>
      </c>
      <c r="G15" s="125">
        <f>B15*D15*1.1</f>
        <v>386236.85100000008</v>
      </c>
      <c r="H15" s="131" t="s">
        <v>405</v>
      </c>
      <c r="I15" s="115" t="s">
        <v>497</v>
      </c>
      <c r="K15" s="183"/>
      <c r="L15" s="115"/>
    </row>
    <row r="16" spans="1:12" x14ac:dyDescent="0.3">
      <c r="A16" s="204" t="s">
        <v>485</v>
      </c>
      <c r="B16" s="205">
        <f>(K19+K21*9)*(0.5+0.1)</f>
        <v>808.44</v>
      </c>
      <c r="C16" s="129" t="s">
        <v>2</v>
      </c>
      <c r="D16" s="251">
        <v>117.699</v>
      </c>
      <c r="E16" s="130" t="s">
        <v>170</v>
      </c>
      <c r="F16" s="126" t="s">
        <v>213</v>
      </c>
      <c r="G16" s="125">
        <f>B16*D16*1.1</f>
        <v>104667.837516</v>
      </c>
      <c r="H16" s="131" t="s">
        <v>498</v>
      </c>
      <c r="I16" s="115"/>
      <c r="K16" s="182"/>
      <c r="L16" s="115"/>
    </row>
    <row r="17" spans="1:16" x14ac:dyDescent="0.3">
      <c r="A17" s="328" t="s">
        <v>17</v>
      </c>
      <c r="B17" s="329"/>
      <c r="C17" s="329"/>
      <c r="D17" s="329"/>
      <c r="E17" s="329"/>
      <c r="F17" s="329"/>
      <c r="G17" s="122">
        <f>SUM(G15:G16)</f>
        <v>490904.68851600005</v>
      </c>
      <c r="H17" s="121"/>
      <c r="K17" s="182"/>
    </row>
    <row r="18" spans="1:16" ht="15.75" customHeight="1" x14ac:dyDescent="0.3">
      <c r="A18" s="330"/>
      <c r="B18" s="331"/>
      <c r="C18" s="331"/>
      <c r="D18" s="331"/>
      <c r="E18" s="331"/>
      <c r="F18" s="331"/>
      <c r="G18" s="167"/>
      <c r="H18" s="118"/>
      <c r="O18" s="1" t="s">
        <v>484</v>
      </c>
    </row>
    <row r="19" spans="1:16" ht="15.75" customHeight="1" x14ac:dyDescent="0.3">
      <c r="A19" s="144" t="s">
        <v>217</v>
      </c>
      <c r="B19" s="143"/>
      <c r="C19" s="142"/>
      <c r="D19" s="141"/>
      <c r="E19" s="140"/>
      <c r="F19" s="140"/>
      <c r="G19" s="140"/>
      <c r="H19" s="139"/>
      <c r="J19" s="1" t="s">
        <v>216</v>
      </c>
      <c r="K19" s="115">
        <f>DADOS_INICIAIS!E26</f>
        <v>157.96</v>
      </c>
      <c r="L19" s="1">
        <v>6.76</v>
      </c>
      <c r="M19" s="115">
        <f>L19*K19</f>
        <v>1067.8096</v>
      </c>
      <c r="N19" s="1">
        <f>45.11+32.11+42.96+5.68</f>
        <v>125.86000000000001</v>
      </c>
      <c r="O19" s="1">
        <f>N19*2</f>
        <v>251.72000000000003</v>
      </c>
    </row>
    <row r="20" spans="1:16" ht="15.75" customHeight="1" x14ac:dyDescent="0.3">
      <c r="A20" s="138"/>
      <c r="B20" s="181"/>
      <c r="C20" s="136"/>
      <c r="D20" s="135"/>
      <c r="E20" s="135"/>
      <c r="F20" s="135"/>
      <c r="H20" s="131"/>
      <c r="J20" s="1" t="s">
        <v>403</v>
      </c>
      <c r="N20" s="1">
        <f>(4.8+10.8+9.2+1.2)</f>
        <v>26</v>
      </c>
      <c r="O20" s="1">
        <f>N20*(6.76-3.52)</f>
        <v>84.24</v>
      </c>
    </row>
    <row r="21" spans="1:16" ht="15.75" customHeight="1" x14ac:dyDescent="0.3">
      <c r="A21" s="134" t="s">
        <v>14</v>
      </c>
      <c r="B21" s="324" t="s">
        <v>18</v>
      </c>
      <c r="C21" s="325"/>
      <c r="D21" s="326" t="s">
        <v>5</v>
      </c>
      <c r="E21" s="327"/>
      <c r="F21" s="133" t="s">
        <v>182</v>
      </c>
      <c r="G21" s="132" t="s">
        <v>16</v>
      </c>
      <c r="H21" s="131"/>
      <c r="J21" s="1" t="s">
        <v>325</v>
      </c>
      <c r="K21" s="115">
        <f>DADOS_INICIAIS!E20</f>
        <v>132.16</v>
      </c>
      <c r="L21" s="1">
        <f>36.06-L19</f>
        <v>29.300000000000004</v>
      </c>
      <c r="M21" s="115">
        <f>L21*K21</f>
        <v>3872.2880000000005</v>
      </c>
      <c r="O21" s="115">
        <f>M21*0.3</f>
        <v>1161.6864</v>
      </c>
      <c r="P21" s="1" t="s">
        <v>496</v>
      </c>
    </row>
    <row r="22" spans="1:16" ht="15.75" customHeight="1" x14ac:dyDescent="0.3">
      <c r="A22" s="170" t="s">
        <v>404</v>
      </c>
      <c r="B22" s="173">
        <f>B15</f>
        <v>2854.67</v>
      </c>
      <c r="C22" s="129" t="s">
        <v>2</v>
      </c>
      <c r="D22" s="124">
        <f>2+21+45</f>
        <v>68</v>
      </c>
      <c r="E22" s="130" t="s">
        <v>170</v>
      </c>
      <c r="F22" s="126" t="s">
        <v>213</v>
      </c>
      <c r="G22" s="125">
        <f>B22*D22*1.1</f>
        <v>213529.31600000002</v>
      </c>
      <c r="H22" s="206">
        <f>G22/B22</f>
        <v>74.800000000000011</v>
      </c>
      <c r="I22" s="115"/>
      <c r="J22" s="1" t="s">
        <v>215</v>
      </c>
      <c r="K22" s="1">
        <v>30.6</v>
      </c>
      <c r="L22" s="1">
        <f>44.78-36.06</f>
        <v>8.7199999999999989</v>
      </c>
      <c r="M22" s="115">
        <f>L22*K22</f>
        <v>266.83199999999999</v>
      </c>
      <c r="O22" s="115">
        <f>M22</f>
        <v>266.83199999999999</v>
      </c>
    </row>
    <row r="23" spans="1:16" x14ac:dyDescent="0.3">
      <c r="A23" s="328" t="s">
        <v>17</v>
      </c>
      <c r="B23" s="329"/>
      <c r="C23" s="329"/>
      <c r="D23" s="329"/>
      <c r="E23" s="329"/>
      <c r="F23" s="329"/>
      <c r="G23" s="122">
        <f>SUM(G22:G22)</f>
        <v>213529.31600000002</v>
      </c>
      <c r="H23" s="121"/>
      <c r="L23" s="115">
        <f>K19*L19+K21*L21+K22*L22+K20*L20</f>
        <v>5206.9296000000013</v>
      </c>
      <c r="O23" s="115">
        <f>O19+O20+O21+O22</f>
        <v>1764.4784</v>
      </c>
    </row>
    <row r="24" spans="1:16" x14ac:dyDescent="0.3">
      <c r="A24" s="338"/>
      <c r="B24" s="339"/>
      <c r="C24" s="339"/>
      <c r="D24" s="339"/>
      <c r="E24" s="339"/>
      <c r="F24" s="339"/>
      <c r="G24" s="167"/>
      <c r="H24" s="118"/>
      <c r="L24" s="115">
        <f>L23/10000</f>
        <v>0.52069296000000009</v>
      </c>
    </row>
    <row r="25" spans="1:16" ht="15.75" customHeight="1" x14ac:dyDescent="0.3">
      <c r="A25" s="144" t="s">
        <v>214</v>
      </c>
      <c r="B25" s="143"/>
      <c r="C25" s="142"/>
      <c r="D25" s="141"/>
      <c r="E25" s="140"/>
      <c r="F25" s="140"/>
      <c r="G25" s="140"/>
      <c r="H25" s="139"/>
      <c r="O25" s="115">
        <f>L23-O23</f>
        <v>3442.4512000000013</v>
      </c>
    </row>
    <row r="26" spans="1:16" ht="15.75" customHeight="1" x14ac:dyDescent="0.3">
      <c r="A26" s="138"/>
      <c r="B26" s="137"/>
      <c r="C26" s="136"/>
      <c r="D26" s="135"/>
      <c r="E26" s="135"/>
      <c r="F26" s="135"/>
      <c r="H26" s="131"/>
    </row>
    <row r="27" spans="1:16" ht="15.75" customHeight="1" x14ac:dyDescent="0.3">
      <c r="A27" s="134" t="s">
        <v>14</v>
      </c>
      <c r="B27" s="324" t="s">
        <v>18</v>
      </c>
      <c r="C27" s="325"/>
      <c r="D27" s="326" t="s">
        <v>5</v>
      </c>
      <c r="E27" s="327"/>
      <c r="F27" s="133" t="s">
        <v>182</v>
      </c>
      <c r="G27" s="132" t="s">
        <v>16</v>
      </c>
      <c r="H27" s="131"/>
    </row>
    <row r="28" spans="1:16" ht="15.75" customHeight="1" x14ac:dyDescent="0.3">
      <c r="A28" s="170" t="s">
        <v>519</v>
      </c>
      <c r="B28" s="173">
        <f>15.61*2.9*2</f>
        <v>90.537999999999997</v>
      </c>
      <c r="C28" s="129" t="s">
        <v>329</v>
      </c>
      <c r="D28" s="124">
        <f>411.42+52</f>
        <v>463.42</v>
      </c>
      <c r="E28" s="130" t="s">
        <v>170</v>
      </c>
      <c r="F28" s="126" t="s">
        <v>213</v>
      </c>
      <c r="G28" s="125">
        <f>B28*D28*1.1</f>
        <v>46152.831956000002</v>
      </c>
      <c r="H28" s="131"/>
    </row>
    <row r="29" spans="1:16" ht="15.75" customHeight="1" x14ac:dyDescent="0.3">
      <c r="A29" s="204"/>
      <c r="B29" s="205"/>
      <c r="C29" s="129" t="s">
        <v>329</v>
      </c>
      <c r="D29" s="124">
        <v>600</v>
      </c>
      <c r="E29" s="130" t="s">
        <v>170</v>
      </c>
      <c r="F29" s="126" t="s">
        <v>213</v>
      </c>
      <c r="G29" s="125">
        <f>B29*D29*1.1</f>
        <v>0</v>
      </c>
      <c r="H29" s="131"/>
    </row>
    <row r="30" spans="1:16" ht="15.75" customHeight="1" x14ac:dyDescent="0.3">
      <c r="A30" s="328"/>
      <c r="B30" s="329"/>
      <c r="C30" s="329"/>
      <c r="D30" s="329"/>
      <c r="E30" s="329"/>
      <c r="F30" s="329"/>
      <c r="G30" s="122">
        <f>SUM(G28:G29)</f>
        <v>46152.831956000002</v>
      </c>
      <c r="H30" s="121"/>
    </row>
    <row r="31" spans="1:16" x14ac:dyDescent="0.3">
      <c r="A31" s="330"/>
      <c r="B31" s="331"/>
      <c r="C31" s="331"/>
      <c r="D31" s="331"/>
      <c r="E31" s="331"/>
      <c r="F31" s="331"/>
      <c r="G31" s="167"/>
      <c r="H31" s="118"/>
      <c r="J31" s="1">
        <f>25.78*2</f>
        <v>51.56</v>
      </c>
    </row>
    <row r="32" spans="1:16" ht="15.75" customHeight="1" x14ac:dyDescent="0.3">
      <c r="G32" s="115"/>
    </row>
    <row r="33" spans="1:8" ht="15.75" customHeight="1" x14ac:dyDescent="0.3">
      <c r="A33" s="334" t="s">
        <v>212</v>
      </c>
      <c r="B33" s="334"/>
      <c r="C33" s="334"/>
      <c r="D33" s="334"/>
      <c r="E33" s="334"/>
      <c r="F33" s="334"/>
      <c r="G33" s="117">
        <f>G23+G17+G30</f>
        <v>750586.836472</v>
      </c>
      <c r="H33" s="116">
        <f>G33/DADOS_INICIAIS!E9</f>
        <v>57.088484631778137</v>
      </c>
    </row>
    <row r="34" spans="1:8" ht="15.75" customHeight="1" x14ac:dyDescent="0.3">
      <c r="H34" s="115">
        <f>H33/1.1</f>
        <v>51.898622392525574</v>
      </c>
    </row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>
      <c r="C40"/>
    </row>
    <row r="41" spans="1:8" ht="15.75" customHeight="1" x14ac:dyDescent="0.3"/>
  </sheetData>
  <mergeCells count="14">
    <mergeCell ref="B21:C21"/>
    <mergeCell ref="D21:E21"/>
    <mergeCell ref="A33:F33"/>
    <mergeCell ref="A23:F23"/>
    <mergeCell ref="A24:F24"/>
    <mergeCell ref="A31:F31"/>
    <mergeCell ref="B27:C27"/>
    <mergeCell ref="D27:E27"/>
    <mergeCell ref="A30:F30"/>
    <mergeCell ref="B14:C14"/>
    <mergeCell ref="D14:E14"/>
    <mergeCell ref="A2:A4"/>
    <mergeCell ref="A17:F17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CF5E-E647-4E0E-A5D0-6F82C9E9AD12}">
  <sheetPr>
    <tabColor rgb="FF92D050"/>
  </sheetPr>
  <dimension ref="A1:P41"/>
  <sheetViews>
    <sheetView showGridLines="0" topLeftCell="A10" zoomScale="92" zoomScaleNormal="92" zoomScaleSheetLayoutView="95" workbookViewId="0">
      <selection activeCell="G35" sqref="G35"/>
    </sheetView>
  </sheetViews>
  <sheetFormatPr defaultColWidth="9.109375" defaultRowHeight="13.2" x14ac:dyDescent="0.3"/>
  <cols>
    <col min="1" max="1" width="48.6640625" style="1" customWidth="1"/>
    <col min="2" max="2" width="15.88671875" style="114" customWidth="1"/>
    <col min="3" max="3" width="7.5546875" style="113" customWidth="1"/>
    <col min="4" max="4" width="11.5546875" style="112" customWidth="1"/>
    <col min="5" max="5" width="15.88671875" style="1" customWidth="1"/>
    <col min="6" max="6" width="12.88671875" style="1" customWidth="1"/>
    <col min="7" max="7" width="19.109375" style="1" customWidth="1"/>
    <col min="8" max="8" width="15.109375" style="1" customWidth="1"/>
    <col min="9" max="9" width="13.5546875" style="1" bestFit="1" customWidth="1"/>
    <col min="10" max="10" width="12" style="1" bestFit="1" customWidth="1"/>
    <col min="11" max="11" width="9.109375" style="1"/>
    <col min="12" max="12" width="12" style="1" bestFit="1" customWidth="1"/>
    <col min="13" max="16384" width="9.109375" style="1"/>
  </cols>
  <sheetData>
    <row r="1" spans="1:12" x14ac:dyDescent="0.3">
      <c r="B1" s="2"/>
      <c r="C1" s="1"/>
      <c r="D1" s="1"/>
      <c r="G1" s="161"/>
      <c r="H1" s="161"/>
      <c r="I1" s="2"/>
    </row>
    <row r="2" spans="1:12" ht="12.75" customHeight="1" x14ac:dyDescent="0.3">
      <c r="A2" s="332" t="s">
        <v>187</v>
      </c>
      <c r="B2" s="2"/>
      <c r="C2" s="1"/>
      <c r="D2" s="1"/>
      <c r="G2" s="166"/>
      <c r="H2" s="166"/>
      <c r="I2" s="2"/>
    </row>
    <row r="3" spans="1:12" ht="12.75" customHeight="1" x14ac:dyDescent="0.3">
      <c r="A3" s="333"/>
      <c r="B3" s="2"/>
      <c r="C3" s="1"/>
      <c r="D3" s="1"/>
      <c r="G3" s="166"/>
      <c r="H3" s="166"/>
      <c r="I3" s="2"/>
    </row>
    <row r="4" spans="1:12" ht="12.75" customHeight="1" x14ac:dyDescent="0.3">
      <c r="A4" s="333"/>
      <c r="B4" s="2"/>
      <c r="C4" s="1"/>
      <c r="D4" s="1"/>
      <c r="G4" s="166"/>
      <c r="H4" s="166"/>
      <c r="I4" s="2"/>
    </row>
    <row r="5" spans="1:12" ht="13.8" thickBot="1" x14ac:dyDescent="0.35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3">
      <c r="A6" s="162"/>
      <c r="B6" s="2"/>
      <c r="C6" s="1"/>
      <c r="D6" s="1"/>
      <c r="G6" s="161"/>
      <c r="H6" s="161"/>
      <c r="I6" s="2"/>
    </row>
    <row r="7" spans="1:12" x14ac:dyDescent="0.3">
      <c r="A7" s="160" t="s">
        <v>186</v>
      </c>
      <c r="B7" s="159" t="s">
        <v>352</v>
      </c>
      <c r="C7" s="158"/>
      <c r="D7" s="158"/>
      <c r="E7" s="158"/>
      <c r="F7" s="158"/>
      <c r="G7" s="158"/>
      <c r="H7" s="157"/>
      <c r="I7" s="2"/>
    </row>
    <row r="8" spans="1:12" x14ac:dyDescent="0.3">
      <c r="A8" s="156" t="s">
        <v>0</v>
      </c>
      <c r="B8" s="155" t="s">
        <v>350</v>
      </c>
      <c r="C8" s="154"/>
      <c r="D8" s="154"/>
      <c r="E8" s="154"/>
      <c r="F8" s="154"/>
      <c r="G8" s="154"/>
      <c r="H8" s="153"/>
      <c r="I8" s="2"/>
    </row>
    <row r="9" spans="1:12" ht="15" customHeight="1" x14ac:dyDescent="0.3">
      <c r="A9" s="152" t="s">
        <v>185</v>
      </c>
      <c r="B9" s="151">
        <v>45543</v>
      </c>
      <c r="C9" s="150"/>
      <c r="D9" s="150"/>
      <c r="E9" s="150"/>
      <c r="F9" s="150"/>
      <c r="G9" s="150"/>
      <c r="H9" s="149"/>
    </row>
    <row r="10" spans="1:12" x14ac:dyDescent="0.3">
      <c r="A10" s="148" t="s">
        <v>1</v>
      </c>
      <c r="B10" s="147" t="s">
        <v>184</v>
      </c>
      <c r="C10" s="146"/>
      <c r="D10" s="146"/>
      <c r="E10" s="146"/>
      <c r="F10" s="146"/>
      <c r="G10" s="146"/>
      <c r="H10" s="145"/>
    </row>
    <row r="12" spans="1:12" ht="15.75" customHeight="1" x14ac:dyDescent="0.3">
      <c r="A12" s="144" t="s">
        <v>218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3">
      <c r="A13" s="138"/>
      <c r="B13" s="137"/>
      <c r="C13" s="136"/>
      <c r="D13" s="135"/>
      <c r="E13" s="135"/>
      <c r="F13" s="135"/>
      <c r="H13" s="131"/>
    </row>
    <row r="14" spans="1:12" ht="15.75" customHeight="1" x14ac:dyDescent="0.3">
      <c r="A14" s="134" t="s">
        <v>14</v>
      </c>
      <c r="B14" s="324" t="s">
        <v>18</v>
      </c>
      <c r="C14" s="325"/>
      <c r="D14" s="326" t="s">
        <v>5</v>
      </c>
      <c r="E14" s="327"/>
      <c r="F14" s="133" t="s">
        <v>182</v>
      </c>
      <c r="G14" s="132" t="s">
        <v>16</v>
      </c>
      <c r="H14" s="131"/>
      <c r="J14" s="115"/>
      <c r="L14" s="115"/>
    </row>
    <row r="15" spans="1:12" x14ac:dyDescent="0.3">
      <c r="A15" s="170" t="s">
        <v>195</v>
      </c>
      <c r="B15" s="173">
        <f>'Rev. Fachada'!B15+'ESQUADRIAS (2)'!D8</f>
        <v>3315.4700000000003</v>
      </c>
      <c r="C15" s="129" t="s">
        <v>2</v>
      </c>
      <c r="D15" s="124">
        <f>25+28+70</f>
        <v>123</v>
      </c>
      <c r="E15" s="130" t="s">
        <v>170</v>
      </c>
      <c r="F15" s="126" t="s">
        <v>213</v>
      </c>
      <c r="G15" s="125">
        <f>B15*D15*1.1</f>
        <v>448583.09100000007</v>
      </c>
      <c r="H15" s="131" t="s">
        <v>405</v>
      </c>
      <c r="I15" s="115" t="s">
        <v>518</v>
      </c>
      <c r="K15" s="183"/>
      <c r="L15" s="115"/>
    </row>
    <row r="16" spans="1:12" x14ac:dyDescent="0.3">
      <c r="A16" s="204" t="s">
        <v>485</v>
      </c>
      <c r="B16" s="205">
        <f>(K19+K21*9)*(0.5+0.1)</f>
        <v>808.44</v>
      </c>
      <c r="C16" s="129" t="s">
        <v>2</v>
      </c>
      <c r="D16" s="251">
        <v>117.699</v>
      </c>
      <c r="E16" s="130" t="s">
        <v>170</v>
      </c>
      <c r="F16" s="126" t="s">
        <v>213</v>
      </c>
      <c r="G16" s="125">
        <f>B16*D16*1.1</f>
        <v>104667.837516</v>
      </c>
      <c r="H16" s="131" t="s">
        <v>498</v>
      </c>
      <c r="I16" s="115"/>
      <c r="K16" s="182"/>
      <c r="L16" s="115"/>
    </row>
    <row r="17" spans="1:16" x14ac:dyDescent="0.3">
      <c r="A17" s="328" t="s">
        <v>17</v>
      </c>
      <c r="B17" s="329"/>
      <c r="C17" s="329"/>
      <c r="D17" s="329"/>
      <c r="E17" s="329"/>
      <c r="F17" s="329"/>
      <c r="G17" s="122">
        <f>SUM(G15:G16)</f>
        <v>553250.92851600004</v>
      </c>
      <c r="H17" s="121"/>
      <c r="K17" s="182"/>
    </row>
    <row r="18" spans="1:16" ht="15.75" customHeight="1" x14ac:dyDescent="0.3">
      <c r="A18" s="330"/>
      <c r="B18" s="331"/>
      <c r="C18" s="331"/>
      <c r="D18" s="331"/>
      <c r="E18" s="331"/>
      <c r="F18" s="331"/>
      <c r="G18" s="167"/>
      <c r="H18" s="118"/>
      <c r="O18" s="1" t="s">
        <v>484</v>
      </c>
    </row>
    <row r="19" spans="1:16" ht="15.75" customHeight="1" x14ac:dyDescent="0.3">
      <c r="A19" s="144" t="s">
        <v>217</v>
      </c>
      <c r="B19" s="143"/>
      <c r="C19" s="142"/>
      <c r="D19" s="141"/>
      <c r="E19" s="140"/>
      <c r="F19" s="140"/>
      <c r="G19" s="140"/>
      <c r="H19" s="139"/>
      <c r="J19" s="1" t="s">
        <v>216</v>
      </c>
      <c r="K19" s="115">
        <f>DADOS_INICIAIS!E26</f>
        <v>157.96</v>
      </c>
      <c r="L19" s="1">
        <v>6.76</v>
      </c>
      <c r="M19" s="115">
        <f>L19*K19</f>
        <v>1067.8096</v>
      </c>
      <c r="N19" s="1">
        <f>45.11+32.11+42.96+5.68</f>
        <v>125.86000000000001</v>
      </c>
      <c r="O19" s="1">
        <f>N19*2</f>
        <v>251.72000000000003</v>
      </c>
    </row>
    <row r="20" spans="1:16" ht="15.75" customHeight="1" x14ac:dyDescent="0.3">
      <c r="A20" s="138"/>
      <c r="B20" s="181"/>
      <c r="C20" s="136"/>
      <c r="D20" s="135"/>
      <c r="E20" s="135"/>
      <c r="F20" s="135"/>
      <c r="H20" s="131"/>
      <c r="J20" s="1" t="s">
        <v>403</v>
      </c>
      <c r="N20" s="1">
        <f>(4.8+10.8+9.2+1.2)</f>
        <v>26</v>
      </c>
      <c r="O20" s="1">
        <f>N20*(6.76-3.52)</f>
        <v>84.24</v>
      </c>
    </row>
    <row r="21" spans="1:16" ht="15.75" customHeight="1" x14ac:dyDescent="0.3">
      <c r="A21" s="134" t="s">
        <v>14</v>
      </c>
      <c r="B21" s="324" t="s">
        <v>18</v>
      </c>
      <c r="C21" s="325"/>
      <c r="D21" s="326" t="s">
        <v>5</v>
      </c>
      <c r="E21" s="327"/>
      <c r="F21" s="133" t="s">
        <v>182</v>
      </c>
      <c r="G21" s="132" t="s">
        <v>16</v>
      </c>
      <c r="H21" s="131"/>
      <c r="J21" s="1" t="s">
        <v>325</v>
      </c>
      <c r="K21" s="115">
        <f>DADOS_INICIAIS!E20</f>
        <v>132.16</v>
      </c>
      <c r="L21" s="1">
        <f>36.06-L19</f>
        <v>29.300000000000004</v>
      </c>
      <c r="M21" s="115">
        <f>L21*K21</f>
        <v>3872.2880000000005</v>
      </c>
      <c r="O21" s="115">
        <f>M21*0.3</f>
        <v>1161.6864</v>
      </c>
      <c r="P21" s="1" t="s">
        <v>496</v>
      </c>
    </row>
    <row r="22" spans="1:16" ht="15.75" customHeight="1" x14ac:dyDescent="0.3">
      <c r="A22" s="170" t="s">
        <v>404</v>
      </c>
      <c r="B22" s="173">
        <f>B15</f>
        <v>3315.4700000000003</v>
      </c>
      <c r="C22" s="129" t="s">
        <v>2</v>
      </c>
      <c r="D22" s="124">
        <f>2+21+45</f>
        <v>68</v>
      </c>
      <c r="E22" s="130" t="s">
        <v>170</v>
      </c>
      <c r="F22" s="126" t="s">
        <v>213</v>
      </c>
      <c r="G22" s="125">
        <f>B22*D22*1.1</f>
        <v>247997.15600000005</v>
      </c>
      <c r="H22" s="131"/>
      <c r="I22" s="115"/>
      <c r="J22" s="1" t="s">
        <v>215</v>
      </c>
      <c r="K22" s="1">
        <v>30.6</v>
      </c>
      <c r="L22" s="1">
        <f>44.78-36.06</f>
        <v>8.7199999999999989</v>
      </c>
      <c r="M22" s="115">
        <f>L22*K22</f>
        <v>266.83199999999999</v>
      </c>
      <c r="O22" s="115">
        <f>M22</f>
        <v>266.83199999999999</v>
      </c>
    </row>
    <row r="23" spans="1:16" x14ac:dyDescent="0.3">
      <c r="A23" s="328" t="s">
        <v>17</v>
      </c>
      <c r="B23" s="329"/>
      <c r="C23" s="329"/>
      <c r="D23" s="329"/>
      <c r="E23" s="329"/>
      <c r="F23" s="329"/>
      <c r="G23" s="122">
        <f>SUM(G22:G22)</f>
        <v>247997.15600000005</v>
      </c>
      <c r="H23" s="121"/>
      <c r="L23" s="115">
        <f>K19*L19+K21*L21+K22*L22+K20*L20</f>
        <v>5206.9296000000013</v>
      </c>
      <c r="O23" s="115">
        <f>O19+O20+O21+O22</f>
        <v>1764.4784</v>
      </c>
    </row>
    <row r="24" spans="1:16" x14ac:dyDescent="0.3">
      <c r="A24" s="338"/>
      <c r="B24" s="339"/>
      <c r="C24" s="339"/>
      <c r="D24" s="339"/>
      <c r="E24" s="339"/>
      <c r="F24" s="339"/>
      <c r="G24" s="167"/>
      <c r="H24" s="118"/>
      <c r="L24" s="115">
        <f>L23/10000</f>
        <v>0.52069296000000009</v>
      </c>
    </row>
    <row r="25" spans="1:16" ht="15.75" customHeight="1" x14ac:dyDescent="0.3">
      <c r="A25" s="144" t="s">
        <v>214</v>
      </c>
      <c r="B25" s="143"/>
      <c r="C25" s="142"/>
      <c r="D25" s="141"/>
      <c r="E25" s="140"/>
      <c r="F25" s="140"/>
      <c r="G25" s="140"/>
      <c r="H25" s="139"/>
      <c r="O25" s="115">
        <f>L23-O23</f>
        <v>3442.4512000000013</v>
      </c>
    </row>
    <row r="26" spans="1:16" ht="15.75" customHeight="1" x14ac:dyDescent="0.3">
      <c r="A26" s="138"/>
      <c r="B26" s="137"/>
      <c r="C26" s="136"/>
      <c r="D26" s="135"/>
      <c r="E26" s="135"/>
      <c r="F26" s="135"/>
      <c r="H26" s="131"/>
    </row>
    <row r="27" spans="1:16" ht="15.75" customHeight="1" x14ac:dyDescent="0.3">
      <c r="A27" s="134" t="s">
        <v>14</v>
      </c>
      <c r="B27" s="324" t="s">
        <v>18</v>
      </c>
      <c r="C27" s="325"/>
      <c r="D27" s="326" t="s">
        <v>5</v>
      </c>
      <c r="E27" s="327"/>
      <c r="F27" s="133" t="s">
        <v>182</v>
      </c>
      <c r="G27" s="132" t="s">
        <v>16</v>
      </c>
      <c r="H27" s="131"/>
    </row>
    <row r="28" spans="1:16" ht="15.75" customHeight="1" x14ac:dyDescent="0.3">
      <c r="A28" s="170" t="s">
        <v>519</v>
      </c>
      <c r="B28" s="173">
        <f>15.61*2.9*2</f>
        <v>90.537999999999997</v>
      </c>
      <c r="C28" s="129" t="s">
        <v>329</v>
      </c>
      <c r="D28" s="124">
        <f>411.42+52</f>
        <v>463.42</v>
      </c>
      <c r="E28" s="130" t="s">
        <v>170</v>
      </c>
      <c r="F28" s="126" t="s">
        <v>213</v>
      </c>
      <c r="G28" s="125">
        <f>B28*D28*1.1</f>
        <v>46152.831956000002</v>
      </c>
      <c r="H28" s="131"/>
    </row>
    <row r="29" spans="1:16" ht="15.75" customHeight="1" x14ac:dyDescent="0.3">
      <c r="A29" s="204"/>
      <c r="B29" s="205"/>
      <c r="C29" s="129" t="s">
        <v>329</v>
      </c>
      <c r="D29" s="124">
        <v>600</v>
      </c>
      <c r="E29" s="130" t="s">
        <v>170</v>
      </c>
      <c r="F29" s="126" t="s">
        <v>213</v>
      </c>
      <c r="G29" s="125">
        <f>B29*D29*1.1</f>
        <v>0</v>
      </c>
      <c r="H29" s="131"/>
    </row>
    <row r="30" spans="1:16" ht="15.75" customHeight="1" x14ac:dyDescent="0.3">
      <c r="A30" s="328"/>
      <c r="B30" s="329"/>
      <c r="C30" s="329"/>
      <c r="D30" s="329"/>
      <c r="E30" s="329"/>
      <c r="F30" s="329"/>
      <c r="G30" s="122">
        <f>SUM(G28:G29)</f>
        <v>46152.831956000002</v>
      </c>
      <c r="H30" s="121"/>
    </row>
    <row r="31" spans="1:16" x14ac:dyDescent="0.3">
      <c r="A31" s="330"/>
      <c r="B31" s="331"/>
      <c r="C31" s="331"/>
      <c r="D31" s="331"/>
      <c r="E31" s="331"/>
      <c r="F31" s="331"/>
      <c r="G31" s="167"/>
      <c r="H31" s="118"/>
      <c r="J31" s="1">
        <f>25.78*2</f>
        <v>51.56</v>
      </c>
    </row>
    <row r="32" spans="1:16" ht="15.75" customHeight="1" x14ac:dyDescent="0.3">
      <c r="G32" s="115"/>
    </row>
    <row r="33" spans="1:8" ht="15.75" customHeight="1" x14ac:dyDescent="0.3">
      <c r="A33" s="334" t="s">
        <v>212</v>
      </c>
      <c r="B33" s="334"/>
      <c r="C33" s="334"/>
      <c r="D33" s="334"/>
      <c r="E33" s="334"/>
      <c r="F33" s="334"/>
      <c r="G33" s="117">
        <f>G23+G17+G30</f>
        <v>847400.91647200007</v>
      </c>
      <c r="H33" s="116">
        <f>G33/DADOS_INICIAIS!E9</f>
        <v>64.452015205000393</v>
      </c>
    </row>
    <row r="34" spans="1:8" ht="15.75" customHeight="1" x14ac:dyDescent="0.3">
      <c r="H34" s="115">
        <f>H33/1.1</f>
        <v>58.592741095454898</v>
      </c>
    </row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>
      <c r="C40"/>
    </row>
    <row r="41" spans="1:8" ht="15.75" customHeight="1" x14ac:dyDescent="0.3"/>
  </sheetData>
  <mergeCells count="14">
    <mergeCell ref="A33:F33"/>
    <mergeCell ref="A23:F23"/>
    <mergeCell ref="A24:F24"/>
    <mergeCell ref="B27:C27"/>
    <mergeCell ref="D27:E27"/>
    <mergeCell ref="A30:F30"/>
    <mergeCell ref="A31:F31"/>
    <mergeCell ref="B21:C21"/>
    <mergeCell ref="D21:E21"/>
    <mergeCell ref="A2:A4"/>
    <mergeCell ref="B14:C14"/>
    <mergeCell ref="D14:E14"/>
    <mergeCell ref="A17:F17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29"/>
  <sheetViews>
    <sheetView showGridLines="0" topLeftCell="A3" zoomScale="85" zoomScaleNormal="85" zoomScaleSheetLayoutView="95" workbookViewId="0">
      <selection activeCell="F11" sqref="F11"/>
    </sheetView>
  </sheetViews>
  <sheetFormatPr defaultColWidth="9.109375" defaultRowHeight="19.8" x14ac:dyDescent="0.3"/>
  <cols>
    <col min="1" max="1" width="53" style="45" bestFit="1" customWidth="1"/>
    <col min="2" max="6" width="27" style="45" customWidth="1"/>
    <col min="7" max="7" width="14" style="45" customWidth="1"/>
    <col min="8" max="16384" width="9.109375" style="1"/>
  </cols>
  <sheetData>
    <row r="1" spans="1:10" x14ac:dyDescent="0.3">
      <c r="A1" s="48"/>
      <c r="B1" s="48"/>
      <c r="C1" s="48"/>
      <c r="D1" s="48"/>
      <c r="E1" s="48"/>
      <c r="F1" s="48"/>
      <c r="G1" s="48"/>
      <c r="I1" s="2"/>
    </row>
    <row r="2" spans="1:10" ht="26.4" x14ac:dyDescent="0.3">
      <c r="A2" s="297" t="s">
        <v>286</v>
      </c>
      <c r="B2" s="298"/>
      <c r="C2" s="298"/>
      <c r="D2" s="298"/>
      <c r="E2" s="298"/>
      <c r="F2" s="298"/>
      <c r="G2" s="299"/>
      <c r="I2" s="2"/>
    </row>
    <row r="3" spans="1:10" s="55" customFormat="1" x14ac:dyDescent="0.3">
      <c r="A3" s="185" t="s">
        <v>185</v>
      </c>
      <c r="B3" s="191">
        <v>45460</v>
      </c>
      <c r="C3" s="189"/>
      <c r="D3" s="189"/>
      <c r="E3" s="189"/>
      <c r="F3" s="189"/>
      <c r="G3" s="189"/>
      <c r="H3" s="190"/>
      <c r="J3" s="79"/>
    </row>
    <row r="4" spans="1:10" s="55" customFormat="1" x14ac:dyDescent="0.3">
      <c r="A4" s="185" t="s">
        <v>296</v>
      </c>
      <c r="B4" s="192" t="s">
        <v>213</v>
      </c>
      <c r="C4" s="187"/>
      <c r="D4" s="187"/>
      <c r="E4" s="187"/>
      <c r="F4" s="187"/>
      <c r="G4" s="187"/>
      <c r="H4" s="188"/>
      <c r="J4" s="79"/>
    </row>
    <row r="5" spans="1:10" x14ac:dyDescent="0.3">
      <c r="A5" s="50"/>
      <c r="B5" s="50"/>
      <c r="C5" s="50"/>
      <c r="D5" s="50"/>
      <c r="E5" s="50"/>
      <c r="F5" s="48"/>
      <c r="G5" s="48"/>
      <c r="I5" s="2"/>
    </row>
    <row r="6" spans="1:10" s="55" customFormat="1" ht="20.399999999999999" x14ac:dyDescent="0.3">
      <c r="A6" s="52" t="s">
        <v>285</v>
      </c>
      <c r="B6" s="53"/>
      <c r="C6" s="53"/>
      <c r="D6" s="53"/>
      <c r="E6" s="53"/>
      <c r="F6" s="53"/>
      <c r="G6" s="53"/>
    </row>
    <row r="7" spans="1:10" s="55" customFormat="1" ht="20.399999999999999" x14ac:dyDescent="0.3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3">
      <c r="A8" s="63" t="s">
        <v>14</v>
      </c>
      <c r="B8" s="301" t="s">
        <v>5</v>
      </c>
      <c r="C8" s="302"/>
      <c r="D8" s="301" t="s">
        <v>18</v>
      </c>
      <c r="E8" s="302"/>
      <c r="F8" s="71" t="s">
        <v>16</v>
      </c>
      <c r="G8" s="59"/>
    </row>
    <row r="9" spans="1:10" s="55" customFormat="1" ht="20.399999999999999" x14ac:dyDescent="0.3">
      <c r="A9" s="66" t="s">
        <v>284</v>
      </c>
      <c r="B9" s="62">
        <v>1750</v>
      </c>
      <c r="C9" s="62" t="s">
        <v>283</v>
      </c>
      <c r="D9" s="67">
        <f>DADOS_INICIAIS!E21</f>
        <v>709.43000000000006</v>
      </c>
      <c r="E9" s="67" t="s">
        <v>2</v>
      </c>
      <c r="F9" s="89">
        <f>D9*B9*1.1</f>
        <v>1365652.75</v>
      </c>
      <c r="G9" s="57"/>
    </row>
    <row r="10" spans="1:10" s="55" customFormat="1" ht="20.399999999999999" x14ac:dyDescent="0.3">
      <c r="A10" s="66" t="s">
        <v>282</v>
      </c>
      <c r="B10" s="62">
        <v>10</v>
      </c>
      <c r="C10" s="62" t="s">
        <v>6</v>
      </c>
      <c r="D10" s="67">
        <f>B10*DADOS_INICIAIS!$E$9</f>
        <v>131477.80000000002</v>
      </c>
      <c r="E10" s="67" t="s">
        <v>27</v>
      </c>
      <c r="F10" s="89">
        <f>D10*1.1</f>
        <v>144625.58000000005</v>
      </c>
      <c r="G10" s="57"/>
    </row>
    <row r="11" spans="1:10" s="55" customFormat="1" ht="20.399999999999999" x14ac:dyDescent="0.3">
      <c r="A11" s="66" t="s">
        <v>281</v>
      </c>
      <c r="B11" s="62">
        <v>20</v>
      </c>
      <c r="C11" s="62" t="s">
        <v>6</v>
      </c>
      <c r="D11" s="67">
        <f>B11*DADOS_INICIAIS!$E$9</f>
        <v>262955.60000000003</v>
      </c>
      <c r="E11" s="67" t="s">
        <v>27</v>
      </c>
      <c r="F11" s="89">
        <f>D11*1.1</f>
        <v>289251.16000000009</v>
      </c>
      <c r="G11" s="57"/>
    </row>
    <row r="12" spans="1:10" s="55" customFormat="1" ht="20.399999999999999" x14ac:dyDescent="0.3">
      <c r="A12" s="66" t="s">
        <v>280</v>
      </c>
      <c r="B12" s="62">
        <v>4</v>
      </c>
      <c r="C12" s="62" t="s">
        <v>6</v>
      </c>
      <c r="D12" s="67">
        <f>B12*DADOS_INICIAIS!$E$9</f>
        <v>52591.12</v>
      </c>
      <c r="E12" s="67" t="s">
        <v>27</v>
      </c>
      <c r="F12" s="89">
        <f t="shared" ref="F12:F14" si="0">D12*1.1</f>
        <v>57850.232000000011</v>
      </c>
      <c r="G12" s="57"/>
    </row>
    <row r="13" spans="1:10" s="55" customFormat="1" ht="20.399999999999999" x14ac:dyDescent="0.3">
      <c r="A13" s="66" t="s">
        <v>279</v>
      </c>
      <c r="B13" s="62">
        <v>3</v>
      </c>
      <c r="C13" s="62" t="s">
        <v>6</v>
      </c>
      <c r="D13" s="67">
        <f>B13*DADOS_INICIAIS!$E$9</f>
        <v>39443.340000000004</v>
      </c>
      <c r="E13" s="67" t="s">
        <v>27</v>
      </c>
      <c r="F13" s="89">
        <f t="shared" si="0"/>
        <v>43387.674000000006</v>
      </c>
      <c r="G13" s="57"/>
    </row>
    <row r="14" spans="1:10" s="55" customFormat="1" ht="20.399999999999999" x14ac:dyDescent="0.3">
      <c r="A14" s="66" t="s">
        <v>278</v>
      </c>
      <c r="B14" s="62">
        <v>20</v>
      </c>
      <c r="C14" s="62" t="s">
        <v>6</v>
      </c>
      <c r="D14" s="67">
        <f>B14*DADOS_INICIAIS!$E$9</f>
        <v>262955.60000000003</v>
      </c>
      <c r="E14" s="67" t="s">
        <v>27</v>
      </c>
      <c r="F14" s="89">
        <f t="shared" si="0"/>
        <v>289251.16000000009</v>
      </c>
      <c r="G14" s="57"/>
    </row>
    <row r="15" spans="1:10" s="55" customFormat="1" ht="20.399999999999999" x14ac:dyDescent="0.3">
      <c r="A15" s="296" t="s">
        <v>17</v>
      </c>
      <c r="B15" s="296"/>
      <c r="C15" s="296"/>
      <c r="D15" s="110"/>
      <c r="E15" s="110"/>
      <c r="F15" s="90">
        <f>SUM(F9:F14)</f>
        <v>2190018.5560000003</v>
      </c>
      <c r="G15" s="60"/>
    </row>
    <row r="16" spans="1:10" s="55" customFormat="1" ht="20.399999999999999" x14ac:dyDescent="0.3">
      <c r="A16" s="300"/>
      <c r="B16" s="300"/>
      <c r="C16" s="300"/>
      <c r="D16" s="111"/>
      <c r="E16" s="111"/>
      <c r="F16" s="59"/>
      <c r="G16" s="59"/>
    </row>
    <row r="17" spans="1:7" ht="23.25" customHeight="1" x14ac:dyDescent="0.3">
      <c r="A17" s="293" t="s">
        <v>277</v>
      </c>
      <c r="B17" s="294"/>
      <c r="C17" s="295"/>
      <c r="D17" s="109"/>
      <c r="E17" s="109"/>
      <c r="F17" s="108">
        <f>F15</f>
        <v>2190018.5560000003</v>
      </c>
      <c r="G17" s="108">
        <f>F17/DADOS_INICIAIS!$E$9</f>
        <v>166.56945552785339</v>
      </c>
    </row>
    <row r="20" spans="1:7" ht="20.399999999999999" x14ac:dyDescent="0.3">
      <c r="A20" s="52" t="s">
        <v>285</v>
      </c>
      <c r="B20" s="53"/>
      <c r="C20" s="53"/>
      <c r="D20" s="53"/>
      <c r="E20" s="53"/>
      <c r="F20" s="53"/>
    </row>
    <row r="21" spans="1:7" ht="20.399999999999999" x14ac:dyDescent="0.3">
      <c r="A21" s="56"/>
      <c r="B21" s="57"/>
      <c r="C21" s="57"/>
      <c r="D21" s="57"/>
      <c r="E21" s="57"/>
      <c r="F21" s="59"/>
    </row>
    <row r="22" spans="1:7" ht="20.399999999999999" x14ac:dyDescent="0.3">
      <c r="A22" s="63" t="s">
        <v>14</v>
      </c>
      <c r="B22" s="301" t="s">
        <v>5</v>
      </c>
      <c r="C22" s="302"/>
      <c r="D22" s="301" t="s">
        <v>18</v>
      </c>
      <c r="E22" s="302"/>
      <c r="F22" s="71" t="s">
        <v>16</v>
      </c>
    </row>
    <row r="23" spans="1:7" ht="20.399999999999999" x14ac:dyDescent="0.3">
      <c r="A23" s="66" t="s">
        <v>284</v>
      </c>
      <c r="B23" s="62">
        <v>1750</v>
      </c>
      <c r="C23" s="62" t="s">
        <v>283</v>
      </c>
      <c r="D23" s="67">
        <v>709.43000000000006</v>
      </c>
      <c r="E23" s="67" t="s">
        <v>2</v>
      </c>
      <c r="F23" s="89">
        <f>D23*B23*1.1</f>
        <v>1365652.75</v>
      </c>
    </row>
    <row r="24" spans="1:7" ht="20.399999999999999" x14ac:dyDescent="0.3">
      <c r="A24" s="66" t="s">
        <v>282</v>
      </c>
      <c r="B24" s="62">
        <v>10</v>
      </c>
      <c r="C24" s="62" t="s">
        <v>6</v>
      </c>
      <c r="D24" s="67">
        <f>B24*DADOS_INICIAIS!$E$9</f>
        <v>131477.80000000002</v>
      </c>
      <c r="E24" s="67" t="s">
        <v>27</v>
      </c>
      <c r="F24" s="89">
        <f>D24*1.1</f>
        <v>144625.58000000005</v>
      </c>
    </row>
    <row r="25" spans="1:7" ht="20.399999999999999" x14ac:dyDescent="0.3">
      <c r="A25" s="66" t="s">
        <v>281</v>
      </c>
      <c r="B25" s="62">
        <v>50</v>
      </c>
      <c r="C25" s="62" t="s">
        <v>6</v>
      </c>
      <c r="D25" s="67">
        <f>B25*DADOS_INICIAIS!$E$9</f>
        <v>657389</v>
      </c>
      <c r="E25" s="67" t="s">
        <v>27</v>
      </c>
      <c r="F25" s="89">
        <f>D25*1.1</f>
        <v>723127.9</v>
      </c>
    </row>
    <row r="26" spans="1:7" ht="20.399999999999999" x14ac:dyDescent="0.3">
      <c r="A26" s="66" t="s">
        <v>280</v>
      </c>
      <c r="B26" s="62">
        <v>4</v>
      </c>
      <c r="C26" s="62" t="s">
        <v>6</v>
      </c>
      <c r="D26" s="67">
        <f>B26*DADOS_INICIAIS!$E$9</f>
        <v>52591.12</v>
      </c>
      <c r="E26" s="67" t="s">
        <v>27</v>
      </c>
      <c r="F26" s="89">
        <f t="shared" ref="F26:F28" si="1">D26*1.1</f>
        <v>57850.232000000011</v>
      </c>
    </row>
    <row r="27" spans="1:7" ht="20.399999999999999" x14ac:dyDescent="0.3">
      <c r="A27" s="66" t="s">
        <v>279</v>
      </c>
      <c r="B27" s="62">
        <v>3</v>
      </c>
      <c r="C27" s="62" t="s">
        <v>6</v>
      </c>
      <c r="D27" s="67">
        <f>B27*DADOS_INICIAIS!$E$9</f>
        <v>39443.340000000004</v>
      </c>
      <c r="E27" s="67" t="s">
        <v>27</v>
      </c>
      <c r="F27" s="89">
        <f t="shared" si="1"/>
        <v>43387.674000000006</v>
      </c>
    </row>
    <row r="28" spans="1:7" ht="20.399999999999999" x14ac:dyDescent="0.3">
      <c r="A28" s="66" t="s">
        <v>278</v>
      </c>
      <c r="B28" s="62">
        <v>20</v>
      </c>
      <c r="C28" s="62" t="s">
        <v>6</v>
      </c>
      <c r="D28" s="67">
        <f>B28*DADOS_INICIAIS!$E$9</f>
        <v>262955.60000000003</v>
      </c>
      <c r="E28" s="67" t="s">
        <v>27</v>
      </c>
      <c r="F28" s="89">
        <f t="shared" si="1"/>
        <v>289251.16000000009</v>
      </c>
    </row>
    <row r="29" spans="1:7" ht="20.399999999999999" x14ac:dyDescent="0.3">
      <c r="A29" s="296" t="s">
        <v>17</v>
      </c>
      <c r="B29" s="296"/>
      <c r="C29" s="296"/>
      <c r="D29" s="110"/>
      <c r="E29" s="110"/>
      <c r="F29" s="90">
        <f>SUM(F23:F28)</f>
        <v>2623895.2960000001</v>
      </c>
    </row>
  </sheetData>
  <mergeCells count="9">
    <mergeCell ref="A29:C29"/>
    <mergeCell ref="A17:C17"/>
    <mergeCell ref="B8:C8"/>
    <mergeCell ref="D8:E8"/>
    <mergeCell ref="A2:G2"/>
    <mergeCell ref="A15:C15"/>
    <mergeCell ref="A16:C16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4.4" x14ac:dyDescent="0.3"/>
  <cols>
    <col min="1" max="1" width="106.5546875" bestFit="1" customWidth="1"/>
    <col min="3" max="3" width="15.6640625" bestFit="1" customWidth="1"/>
    <col min="4" max="4" width="8.88671875" style="3"/>
    <col min="7" max="7" width="14.88671875" bestFit="1" customWidth="1"/>
    <col min="8" max="8" width="9.33203125" style="3" bestFit="1" customWidth="1"/>
  </cols>
  <sheetData>
    <row r="2" spans="1:8" x14ac:dyDescent="0.3">
      <c r="A2" t="s">
        <v>42</v>
      </c>
      <c r="B2">
        <v>2</v>
      </c>
      <c r="C2" t="s">
        <v>89</v>
      </c>
      <c r="D2" s="3">
        <v>18.399999999999999</v>
      </c>
    </row>
    <row r="3" spans="1:8" x14ac:dyDescent="0.3">
      <c r="A3" t="s">
        <v>43</v>
      </c>
      <c r="B3">
        <v>2</v>
      </c>
      <c r="C3" t="s">
        <v>90</v>
      </c>
    </row>
    <row r="4" spans="1:8" x14ac:dyDescent="0.3">
      <c r="A4" t="s">
        <v>44</v>
      </c>
      <c r="B4">
        <v>1</v>
      </c>
      <c r="C4" t="s">
        <v>91</v>
      </c>
      <c r="D4" s="3">
        <v>3.4649999999999999</v>
      </c>
    </row>
    <row r="5" spans="1:8" x14ac:dyDescent="0.3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3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3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3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3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3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3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3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3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3">
      <c r="A14" t="s">
        <v>54</v>
      </c>
      <c r="C14" t="s">
        <v>95</v>
      </c>
      <c r="D14" s="3">
        <v>20.8062</v>
      </c>
    </row>
    <row r="15" spans="1:8" x14ac:dyDescent="0.3">
      <c r="A15" t="s">
        <v>55</v>
      </c>
      <c r="B15">
        <v>8</v>
      </c>
      <c r="C15" t="s">
        <v>90</v>
      </c>
    </row>
    <row r="16" spans="1:8" x14ac:dyDescent="0.3">
      <c r="A16" t="s">
        <v>56</v>
      </c>
      <c r="C16" t="s">
        <v>96</v>
      </c>
      <c r="D16" s="3">
        <v>124.1564</v>
      </c>
    </row>
    <row r="17" spans="1:4" x14ac:dyDescent="0.3">
      <c r="A17" t="s">
        <v>57</v>
      </c>
      <c r="B17">
        <v>2</v>
      </c>
      <c r="C17" t="s">
        <v>90</v>
      </c>
    </row>
    <row r="18" spans="1:4" x14ac:dyDescent="0.3">
      <c r="A18" t="s">
        <v>58</v>
      </c>
      <c r="B18">
        <v>2</v>
      </c>
      <c r="C18" t="s">
        <v>92</v>
      </c>
      <c r="D18" s="3">
        <v>2.94</v>
      </c>
    </row>
    <row r="19" spans="1:4" x14ac:dyDescent="0.3">
      <c r="A19" t="s">
        <v>59</v>
      </c>
      <c r="B19">
        <v>2</v>
      </c>
      <c r="C19" t="s">
        <v>92</v>
      </c>
      <c r="D19" s="3">
        <v>3.78</v>
      </c>
    </row>
    <row r="20" spans="1:4" x14ac:dyDescent="0.3">
      <c r="A20" t="s">
        <v>60</v>
      </c>
      <c r="B20">
        <v>5</v>
      </c>
      <c r="C20" t="s">
        <v>93</v>
      </c>
    </row>
    <row r="21" spans="1:4" x14ac:dyDescent="0.3">
      <c r="A21" t="s">
        <v>61</v>
      </c>
      <c r="B21">
        <v>1</v>
      </c>
      <c r="C21" t="s">
        <v>96</v>
      </c>
      <c r="D21" s="3">
        <v>14.7348</v>
      </c>
    </row>
    <row r="22" spans="1:4" x14ac:dyDescent="0.3">
      <c r="A22" t="s">
        <v>62</v>
      </c>
      <c r="C22" t="s">
        <v>96</v>
      </c>
      <c r="D22" s="3">
        <v>45.024799999999999</v>
      </c>
    </row>
    <row r="23" spans="1:4" x14ac:dyDescent="0.3">
      <c r="A23" t="s">
        <v>63</v>
      </c>
      <c r="C23" t="s">
        <v>95</v>
      </c>
      <c r="D23" s="3">
        <v>19.8809</v>
      </c>
    </row>
    <row r="24" spans="1:4" x14ac:dyDescent="0.3">
      <c r="A24" t="s">
        <v>64</v>
      </c>
      <c r="B24">
        <v>38</v>
      </c>
      <c r="C24" t="s">
        <v>90</v>
      </c>
    </row>
    <row r="25" spans="1:4" x14ac:dyDescent="0.3">
      <c r="A25" t="s">
        <v>65</v>
      </c>
      <c r="B25">
        <v>171</v>
      </c>
      <c r="C25" t="s">
        <v>93</v>
      </c>
    </row>
    <row r="26" spans="1:4" x14ac:dyDescent="0.3">
      <c r="A26" t="s">
        <v>66</v>
      </c>
      <c r="B26">
        <v>19</v>
      </c>
      <c r="C26" t="s">
        <v>92</v>
      </c>
      <c r="D26" s="3">
        <v>23.94</v>
      </c>
    </row>
    <row r="27" spans="1:4" x14ac:dyDescent="0.3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3">
      <c r="A28" t="s">
        <v>68</v>
      </c>
      <c r="B28">
        <v>19</v>
      </c>
      <c r="C28" t="s">
        <v>96</v>
      </c>
      <c r="D28" s="3">
        <v>338.7396</v>
      </c>
    </row>
    <row r="29" spans="1:4" x14ac:dyDescent="0.3">
      <c r="A29" t="s">
        <v>69</v>
      </c>
      <c r="C29" t="s">
        <v>96</v>
      </c>
      <c r="D29" s="3">
        <v>530.63199999999995</v>
      </c>
    </row>
    <row r="30" spans="1:4" x14ac:dyDescent="0.3">
      <c r="A30" t="s">
        <v>70</v>
      </c>
      <c r="C30" t="s">
        <v>97</v>
      </c>
      <c r="D30" s="3">
        <v>90.155000000000001</v>
      </c>
    </row>
    <row r="31" spans="1:4" x14ac:dyDescent="0.3">
      <c r="A31" t="s">
        <v>71</v>
      </c>
      <c r="C31" t="s">
        <v>95</v>
      </c>
      <c r="D31" s="3">
        <v>297.255</v>
      </c>
    </row>
    <row r="32" spans="1:4" x14ac:dyDescent="0.3">
      <c r="A32" t="s">
        <v>57</v>
      </c>
      <c r="B32">
        <v>2</v>
      </c>
      <c r="C32" t="s">
        <v>90</v>
      </c>
    </row>
    <row r="33" spans="1:4" x14ac:dyDescent="0.3">
      <c r="A33" t="s">
        <v>72</v>
      </c>
      <c r="B33">
        <v>2</v>
      </c>
      <c r="C33" t="s">
        <v>93</v>
      </c>
    </row>
    <row r="34" spans="1:4" x14ac:dyDescent="0.3">
      <c r="A34" t="s">
        <v>73</v>
      </c>
      <c r="B34">
        <v>1</v>
      </c>
      <c r="C34" t="s">
        <v>92</v>
      </c>
      <c r="D34" s="3">
        <v>1.26</v>
      </c>
    </row>
    <row r="35" spans="1:4" x14ac:dyDescent="0.3">
      <c r="A35" t="s">
        <v>74</v>
      </c>
      <c r="B35">
        <v>1</v>
      </c>
      <c r="C35" t="s">
        <v>96</v>
      </c>
      <c r="D35" s="3">
        <v>15.21</v>
      </c>
    </row>
    <row r="36" spans="1:4" x14ac:dyDescent="0.3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3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3">
      <c r="A38" t="s">
        <v>77</v>
      </c>
      <c r="C38" t="s">
        <v>96</v>
      </c>
      <c r="D38" s="3">
        <v>27.928000000000001</v>
      </c>
    </row>
    <row r="39" spans="1:4" x14ac:dyDescent="0.3">
      <c r="A39" t="s">
        <v>78</v>
      </c>
      <c r="C39" t="s">
        <v>97</v>
      </c>
      <c r="D39" s="3">
        <v>4.7450000000000001</v>
      </c>
    </row>
    <row r="40" spans="1:4" x14ac:dyDescent="0.3">
      <c r="A40" t="s">
        <v>79</v>
      </c>
      <c r="C40" t="s">
        <v>95</v>
      </c>
      <c r="D40" s="3">
        <v>15.645</v>
      </c>
    </row>
    <row r="41" spans="1:4" x14ac:dyDescent="0.3">
      <c r="A41" t="s">
        <v>57</v>
      </c>
      <c r="B41">
        <v>2</v>
      </c>
      <c r="C41" t="s">
        <v>90</v>
      </c>
    </row>
    <row r="42" spans="1:4" x14ac:dyDescent="0.3">
      <c r="A42" t="s">
        <v>80</v>
      </c>
      <c r="B42">
        <v>7</v>
      </c>
      <c r="C42" t="s">
        <v>93</v>
      </c>
    </row>
    <row r="43" spans="1:4" x14ac:dyDescent="0.3">
      <c r="A43" t="s">
        <v>81</v>
      </c>
      <c r="B43">
        <v>2</v>
      </c>
      <c r="C43" t="s">
        <v>93</v>
      </c>
    </row>
    <row r="44" spans="1:4" x14ac:dyDescent="0.3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3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3">
      <c r="A46" t="s">
        <v>82</v>
      </c>
      <c r="C46" t="s">
        <v>96</v>
      </c>
      <c r="D46" s="3">
        <v>26.827999999999999</v>
      </c>
    </row>
    <row r="47" spans="1:4" x14ac:dyDescent="0.3">
      <c r="A47" t="s">
        <v>78</v>
      </c>
      <c r="C47" t="s">
        <v>97</v>
      </c>
      <c r="D47" s="3">
        <v>4.7450000000000001</v>
      </c>
    </row>
    <row r="48" spans="1:4" x14ac:dyDescent="0.3">
      <c r="A48" t="s">
        <v>79</v>
      </c>
      <c r="C48" t="s">
        <v>95</v>
      </c>
      <c r="D48" s="3">
        <v>15.645</v>
      </c>
    </row>
    <row r="49" spans="1:4" x14ac:dyDescent="0.3">
      <c r="A49" t="s">
        <v>57</v>
      </c>
      <c r="B49">
        <v>2</v>
      </c>
      <c r="C49" t="s">
        <v>90</v>
      </c>
    </row>
    <row r="50" spans="1:4" x14ac:dyDescent="0.3">
      <c r="A50" t="s">
        <v>83</v>
      </c>
      <c r="B50">
        <v>4</v>
      </c>
      <c r="C50" t="s">
        <v>93</v>
      </c>
    </row>
    <row r="51" spans="1:4" x14ac:dyDescent="0.3">
      <c r="A51" t="s">
        <v>73</v>
      </c>
      <c r="B51">
        <v>1</v>
      </c>
      <c r="C51" t="s">
        <v>92</v>
      </c>
      <c r="D51" s="3">
        <v>1.26</v>
      </c>
    </row>
    <row r="52" spans="1:4" x14ac:dyDescent="0.3">
      <c r="A52" t="s">
        <v>84</v>
      </c>
      <c r="B52">
        <v>1</v>
      </c>
      <c r="C52" t="s">
        <v>93</v>
      </c>
    </row>
    <row r="53" spans="1:4" x14ac:dyDescent="0.3">
      <c r="A53" t="s">
        <v>85</v>
      </c>
      <c r="B53">
        <v>1</v>
      </c>
      <c r="C53" t="s">
        <v>92</v>
      </c>
      <c r="D53" s="3">
        <v>10.5</v>
      </c>
    </row>
    <row r="54" spans="1:4" x14ac:dyDescent="0.3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3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3">
      <c r="A56" t="s">
        <v>77</v>
      </c>
      <c r="C56" t="s">
        <v>96</v>
      </c>
      <c r="D56" s="3">
        <v>27.928000000000001</v>
      </c>
    </row>
    <row r="57" spans="1:4" x14ac:dyDescent="0.3">
      <c r="A57" t="s">
        <v>78</v>
      </c>
      <c r="C57" t="s">
        <v>97</v>
      </c>
      <c r="D57" s="3">
        <v>4.7450000000000001</v>
      </c>
    </row>
    <row r="58" spans="1:4" x14ac:dyDescent="0.3">
      <c r="A58" t="s">
        <v>79</v>
      </c>
      <c r="C58" t="s">
        <v>95</v>
      </c>
      <c r="D58" s="3">
        <v>15.645</v>
      </c>
    </row>
    <row r="59" spans="1:4" x14ac:dyDescent="0.3">
      <c r="A59" t="s">
        <v>57</v>
      </c>
      <c r="B59">
        <v>2</v>
      </c>
      <c r="C59" t="s">
        <v>90</v>
      </c>
    </row>
    <row r="60" spans="1:4" x14ac:dyDescent="0.3">
      <c r="A60" t="s">
        <v>80</v>
      </c>
      <c r="B60">
        <v>7</v>
      </c>
      <c r="C60" t="s">
        <v>93</v>
      </c>
    </row>
    <row r="61" spans="1:4" x14ac:dyDescent="0.3">
      <c r="A61" t="s">
        <v>86</v>
      </c>
      <c r="B61">
        <v>1</v>
      </c>
      <c r="C61" t="s">
        <v>96</v>
      </c>
      <c r="D61" s="3">
        <v>5.61</v>
      </c>
    </row>
    <row r="62" spans="1:4" x14ac:dyDescent="0.3">
      <c r="A62" t="s">
        <v>87</v>
      </c>
      <c r="C62" t="s">
        <v>96</v>
      </c>
      <c r="D62" s="3">
        <v>69.707599999999999</v>
      </c>
    </row>
    <row r="63" spans="1:4" x14ac:dyDescent="0.3">
      <c r="A63" t="s">
        <v>78</v>
      </c>
      <c r="C63" t="s">
        <v>97</v>
      </c>
      <c r="D63" s="3">
        <v>4.7450000000000001</v>
      </c>
    </row>
    <row r="64" spans="1:4" x14ac:dyDescent="0.3">
      <c r="A64" t="s">
        <v>79</v>
      </c>
      <c r="C64" t="s">
        <v>95</v>
      </c>
      <c r="D64" s="3">
        <v>15.645</v>
      </c>
    </row>
    <row r="65" spans="1:4" x14ac:dyDescent="0.3">
      <c r="A65" t="s">
        <v>57</v>
      </c>
      <c r="B65">
        <v>2</v>
      </c>
      <c r="C65" t="s">
        <v>90</v>
      </c>
    </row>
    <row r="66" spans="1:4" x14ac:dyDescent="0.3">
      <c r="A66" t="s">
        <v>58</v>
      </c>
      <c r="B66">
        <v>2</v>
      </c>
      <c r="C66" t="s">
        <v>92</v>
      </c>
      <c r="D66" s="3">
        <v>2.94</v>
      </c>
    </row>
    <row r="67" spans="1:4" x14ac:dyDescent="0.3">
      <c r="A67" t="s">
        <v>88</v>
      </c>
      <c r="C67" t="s">
        <v>96</v>
      </c>
      <c r="D67" s="3">
        <v>32.372</v>
      </c>
    </row>
    <row r="68" spans="1:4" x14ac:dyDescent="0.3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35</vt:i4>
      </vt:variant>
    </vt:vector>
  </HeadingPairs>
  <TitlesOfParts>
    <vt:vector size="58" baseType="lpstr">
      <vt:lpstr>DADOS_INICIAIS</vt:lpstr>
      <vt:lpstr>MOVIMENTAÇÃO_DE_TERRA</vt:lpstr>
      <vt:lpstr>CONTENÇÕES</vt:lpstr>
      <vt:lpstr>INFRAESTRUTURA</vt:lpstr>
      <vt:lpstr>CONTENÇÃO</vt:lpstr>
      <vt:lpstr>SUPRAESTRUTURA</vt:lpstr>
      <vt:lpstr>ALVENARIA</vt:lpstr>
      <vt:lpstr>Orçamento</vt:lpstr>
      <vt:lpstr>INSTALAÇÕES</vt:lpstr>
      <vt:lpstr>SISTEMAS ESPECIAIS</vt:lpstr>
      <vt:lpstr>IMPERMEABILIZAÇÃO</vt:lpstr>
      <vt:lpstr>PISO E TETO</vt:lpstr>
      <vt:lpstr>Rev. Internos Piso e Parede</vt:lpstr>
      <vt:lpstr>TETO</vt:lpstr>
      <vt:lpstr>Acabamentos de Piso e Parede</vt:lpstr>
      <vt:lpstr>PINTURA INTERNA</vt:lpstr>
      <vt:lpstr>COBERTURA</vt:lpstr>
      <vt:lpstr>ESQUADRIAS</vt:lpstr>
      <vt:lpstr>ESQUADRIAS (2)</vt:lpstr>
      <vt:lpstr>Rev. Fachada</vt:lpstr>
      <vt:lpstr>Rev. Fachada (2)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CONTENÇÃO!Area_de_impressao</vt:lpstr>
      <vt:lpstr>CONTENÇÕES!Area_de_impressao</vt:lpstr>
      <vt:lpstr>DADOS_INICIAIS!Area_de_impressao</vt:lpstr>
      <vt:lpstr>ESQUADRIAS!Area_de_impressao</vt:lpstr>
      <vt:lpstr>'ESQUADRIAS (2)'!Area_de_impressao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Fachada (2)'!Area_de_impressao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CONTENÇÃO!Titulos_de_impressao</vt:lpstr>
      <vt:lpstr>CONTENÇÕES!Titulos_de_impressao</vt:lpstr>
      <vt:lpstr>DADOS_INICIAIS!Titulos_de_impressao</vt:lpstr>
      <vt:lpstr>ESQUADRIAS!Titulos_de_impressao</vt:lpstr>
      <vt:lpstr>'ESQUADRIAS (2)'!Titulos_de_impressao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Fachada (2)'!Titulos_de_impressao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2025-09-22T17:01:33Z</dcterms:modified>
</cp:coreProperties>
</file>